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comments6.xml" ContentType="application/vnd.openxmlformats-officedocument.spreadsheetml.comments+xml"/>
  <Override PartName="/xl/tables/table7.xml" ContentType="application/vnd.openxmlformats-officedocument.spreadsheetml.table+xml"/>
  <Override PartName="/xl/comments7.xml" ContentType="application/vnd.openxmlformats-officedocument.spreadsheetml.comments+xml"/>
  <Override PartName="/xl/tables/table8.xml" ContentType="application/vnd.openxmlformats-officedocument.spreadsheetml.table+xml"/>
  <Override PartName="/xl/comments8.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tables/table9.xml" ContentType="application/vnd.openxmlformats-officedocument.spreadsheetml.table+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8625"/>
  <workbookPr showInkAnnotation="0" codeName="Denne_projektmappe" defaultThemeVersion="124226"/>
  <mc:AlternateContent xmlns:mc="http://schemas.openxmlformats.org/markup-compatibility/2006">
    <mc:Choice Requires="x15">
      <x15ac:absPath xmlns:x15ac="http://schemas.microsoft.com/office/spreadsheetml/2010/11/ac" url="C:\Users\hrh\OneDrive - Søren Jensen\Dialogværktøj\Arbejdsfiler værktøj\"/>
    </mc:Choice>
  </mc:AlternateContent>
  <xr:revisionPtr revIDLastSave="4" documentId="F3EFEEBCD5D4ADEB116DEE705728C48FDB9DC83A" xr6:coauthVersionLast="24" xr6:coauthVersionMax="24" xr10:uidLastSave="{CE239B51-6B90-454D-BA6F-BBCAFE512F35}"/>
  <workbookProtection lockStructure="1"/>
  <bookViews>
    <workbookView xWindow="0" yWindow="0" windowWidth="20520" windowHeight="9465" tabRatio="1000" activeTab="5" xr2:uid="{00000000-000D-0000-FFFF-FFFF00000000}"/>
  </bookViews>
  <sheets>
    <sheet name="Introduktion" sheetId="5" r:id="rId1"/>
    <sheet name="Projektforudsætninger" sheetId="18" r:id="rId2"/>
    <sheet name="Sortering af spørgsmål" sheetId="6" r:id="rId3"/>
    <sheet name="(projektleder)" sheetId="14" state="hidden" r:id="rId4"/>
    <sheet name="Skema til dialogmøder" sheetId="36" r:id="rId5"/>
    <sheet name="Dialogpart 1" sheetId="17" r:id="rId6"/>
    <sheet name="Dialogpart 2" sheetId="16" r:id="rId7"/>
    <sheet name="Dialogpart 3" sheetId="15" r:id="rId8"/>
    <sheet name="Dialogpart 4" sheetId="27" r:id="rId9"/>
    <sheet name="Dialogpart 5" sheetId="28" r:id="rId10"/>
    <sheet name="Dialogpart 6" sheetId="29" r:id="rId11"/>
    <sheet name="Dialogpart 7" sheetId="30" r:id="rId12"/>
    <sheet name="Fravalgte spørgsmål" sheetId="35" r:id="rId13"/>
    <sheet name="Visualisering af resultat" sheetId="33" r:id="rId14"/>
    <sheet name="Ekstra resultatvisninger" sheetId="34" r:id="rId15"/>
    <sheet name="Udbud" sheetId="4" r:id="rId16"/>
    <sheet name="Arbejdsark" sheetId="1" r:id="rId17"/>
    <sheet name="DGNB matrice" sheetId="38" state="hidden" r:id="rId18"/>
    <sheet name="DGNBvægtning" sheetId="39" state="hidden" r:id="rId19"/>
  </sheets>
  <definedNames>
    <definedName name="ListeJaNej">Projektforudsætninger!$H$1:$H$4</definedName>
    <definedName name="_xlnm.Print_Area" localSheetId="5">'Dialogpart 1'!$A$1:$K$172</definedName>
    <definedName name="_xlnm.Print_Area" localSheetId="6">'Dialogpart 2'!$A$1:$L$173</definedName>
    <definedName name="_xlnm.Print_Area" localSheetId="7">'Dialogpart 3'!$A$1:$L$178</definedName>
    <definedName name="_xlnm.Print_Area" localSheetId="8">'Dialogpart 4'!$A$1:$K$171</definedName>
    <definedName name="_xlnm.Print_Area" localSheetId="9">'Dialogpart 5'!$A$1:$L$173</definedName>
    <definedName name="_xlnm.Print_Area" localSheetId="10">'Dialogpart 6'!$A$1:$L$173</definedName>
    <definedName name="_xlnm.Print_Area" localSheetId="11">'Dialogpart 7'!$A$1:$K$171</definedName>
    <definedName name="_xlnm.Print_Area" localSheetId="14">'Ekstra resultatvisninger'!$A$1:$I$279</definedName>
    <definedName name="_xlnm.Print_Area" localSheetId="12">'Fravalgte spørgsmål'!$A$1:$K$171</definedName>
    <definedName name="_xlnm.Print_Area" localSheetId="1">Projektforudsætninger!$A$1:$E$58</definedName>
    <definedName name="_xlnm.Print_Area" localSheetId="4">'Skema til dialogmøder'!$A$1:$Q$305</definedName>
    <definedName name="_xlnm.Print_Area" localSheetId="15">Udbud!$A$1:$F$248</definedName>
    <definedName name="_xlnm.Print_Area" localSheetId="13">'Visualisering af resultat'!$A$1:$K$312</definedName>
    <definedName name="_xlnm.Print_Titles" localSheetId="3">'(projektleder)'!$2:$2</definedName>
    <definedName name="_xlnm.Print_Titles" localSheetId="5">'Dialogpart 1'!$4:$4</definedName>
    <definedName name="_xlnm.Print_Titles" localSheetId="7">'Dialogpart 3'!$4:$4</definedName>
    <definedName name="_xlnm.Print_Titles" localSheetId="8">'Dialogpart 4'!$4:$4</definedName>
    <definedName name="_xlnm.Print_Titles" localSheetId="9">'Dialogpart 5'!$4:$4</definedName>
    <definedName name="_xlnm.Print_Titles" localSheetId="10">'Dialogpart 6'!$4:$4</definedName>
    <definedName name="_xlnm.Print_Titles" localSheetId="11">'Dialogpart 7'!$4:$4</definedName>
    <definedName name="_xlnm.Print_Titles" localSheetId="12">'Fravalgte spørgsmål'!$4:$4</definedName>
    <definedName name="_xlnm.Print_Titles" localSheetId="4">'Skema til dialogmøder'!$2:$2</definedName>
    <definedName name="_xlnm.Print_Titles" localSheetId="2">'Sortering af spørgsmål'!$5:$5</definedName>
    <definedName name="_xlnm.Print_Titles" localSheetId="15">Udbud!$9:$9</definedName>
  </definedNames>
  <calcPr calcId="171027"/>
  <fileRecoveryPr autoRecover="0"/>
</workbook>
</file>

<file path=xl/calcChain.xml><?xml version="1.0" encoding="utf-8"?>
<calcChain xmlns="http://schemas.openxmlformats.org/spreadsheetml/2006/main">
  <c r="U5" i="1" l="1"/>
  <c r="E51" i="1"/>
  <c r="O291" i="1"/>
  <c r="O236" i="1"/>
  <c r="O235" i="1"/>
  <c r="O228" i="1"/>
  <c r="O213" i="1"/>
  <c r="M214" i="1"/>
  <c r="O214" i="1" s="1"/>
  <c r="H3" i="1"/>
  <c r="O409" i="1" l="1"/>
  <c r="P409" i="1" s="1"/>
  <c r="O410" i="1"/>
  <c r="O411" i="1"/>
  <c r="P410" i="1" l="1"/>
  <c r="P411" i="1"/>
  <c r="O307" i="1"/>
  <c r="O308" i="1"/>
  <c r="O309" i="1"/>
  <c r="O125" i="1"/>
  <c r="P125" i="1" s="1"/>
  <c r="O126" i="1"/>
  <c r="P309" i="1" l="1"/>
  <c r="P126" i="1"/>
  <c r="P308" i="1"/>
  <c r="P307" i="1"/>
  <c r="C303" i="36"/>
  <c r="P305" i="36"/>
  <c r="G305" i="36"/>
  <c r="F305" i="36"/>
  <c r="P304" i="36"/>
  <c r="G304" i="36"/>
  <c r="F304" i="36"/>
  <c r="P303" i="36"/>
  <c r="G303" i="36"/>
  <c r="F303" i="36"/>
  <c r="O575" i="1"/>
  <c r="D305" i="36" s="1"/>
  <c r="O574" i="1"/>
  <c r="D304" i="36" s="1"/>
  <c r="O573" i="1"/>
  <c r="D303" i="36" s="1"/>
  <c r="P574" i="1" l="1"/>
  <c r="E304" i="36" s="1"/>
  <c r="P575" i="1"/>
  <c r="E305" i="36" s="1"/>
  <c r="P573" i="1"/>
  <c r="E303" i="36" s="1"/>
  <c r="F181" i="4"/>
  <c r="E181" i="4"/>
  <c r="F180" i="4"/>
  <c r="E180" i="4"/>
  <c r="D181" i="4"/>
  <c r="D180" i="4"/>
  <c r="B222" i="4" l="1"/>
  <c r="A222" i="4"/>
  <c r="C219" i="4"/>
  <c r="C220" i="4"/>
  <c r="B219" i="4"/>
  <c r="B220" i="4"/>
  <c r="B218" i="4"/>
  <c r="A218" i="4"/>
  <c r="C215" i="4"/>
  <c r="C216" i="4"/>
  <c r="C217" i="4"/>
  <c r="B215" i="4"/>
  <c r="B216" i="4"/>
  <c r="B217" i="4"/>
  <c r="B214" i="4"/>
  <c r="A214" i="4"/>
  <c r="C207" i="4"/>
  <c r="C208" i="4"/>
  <c r="C209" i="4"/>
  <c r="C210" i="4"/>
  <c r="C211" i="4"/>
  <c r="C213" i="4"/>
  <c r="B207" i="4"/>
  <c r="B208" i="4"/>
  <c r="B209" i="4"/>
  <c r="B210" i="4"/>
  <c r="B211" i="4"/>
  <c r="B213" i="4"/>
  <c r="B206" i="4"/>
  <c r="A206" i="4"/>
  <c r="E203" i="4"/>
  <c r="E202" i="4"/>
  <c r="E201" i="4"/>
  <c r="E200" i="4"/>
  <c r="E199" i="4"/>
  <c r="D203" i="4"/>
  <c r="D202" i="4"/>
  <c r="D201" i="4"/>
  <c r="D200" i="4"/>
  <c r="D199" i="4"/>
  <c r="E198" i="4"/>
  <c r="E197" i="4"/>
  <c r="E196" i="4"/>
  <c r="D198" i="4"/>
  <c r="D197" i="4"/>
  <c r="D196" i="4"/>
  <c r="C196" i="4"/>
  <c r="C197" i="4"/>
  <c r="C198" i="4"/>
  <c r="C199" i="4"/>
  <c r="C200" i="4"/>
  <c r="C201" i="4"/>
  <c r="C202" i="4"/>
  <c r="C203" i="4"/>
  <c r="C204" i="4"/>
  <c r="C205" i="4"/>
  <c r="B196" i="4"/>
  <c r="B197" i="4"/>
  <c r="B198" i="4"/>
  <c r="B199" i="4"/>
  <c r="B200" i="4"/>
  <c r="B201" i="4"/>
  <c r="B202" i="4"/>
  <c r="B203" i="4"/>
  <c r="B204" i="4"/>
  <c r="B205" i="4"/>
  <c r="B195" i="4"/>
  <c r="A195" i="4"/>
  <c r="C188" i="4"/>
  <c r="C189" i="4"/>
  <c r="C190" i="4"/>
  <c r="C191" i="4"/>
  <c r="C192" i="4"/>
  <c r="C193" i="4"/>
  <c r="B188" i="4"/>
  <c r="B189" i="4"/>
  <c r="B190" i="4"/>
  <c r="B191" i="4"/>
  <c r="B192" i="4"/>
  <c r="B193" i="4"/>
  <c r="B187" i="4"/>
  <c r="A187" i="4"/>
  <c r="B186" i="4"/>
  <c r="A186" i="4"/>
  <c r="W128" i="34"/>
  <c r="Q128" i="33"/>
  <c r="T128" i="34"/>
  <c r="N128" i="33"/>
  <c r="S128" i="34"/>
  <c r="M128" i="33"/>
  <c r="F200" i="36"/>
  <c r="F199" i="36"/>
  <c r="F198" i="36"/>
  <c r="P200" i="36"/>
  <c r="G200" i="36"/>
  <c r="P199" i="36"/>
  <c r="G199" i="36"/>
  <c r="P198" i="36"/>
  <c r="G198" i="36"/>
  <c r="C198" i="36"/>
  <c r="I114" i="35"/>
  <c r="I113" i="35"/>
  <c r="C114" i="35"/>
  <c r="C113" i="35"/>
  <c r="B114" i="35"/>
  <c r="A114" i="35"/>
  <c r="B114" i="30"/>
  <c r="A114" i="30"/>
  <c r="B114" i="29"/>
  <c r="A114" i="29"/>
  <c r="B114" i="28"/>
  <c r="A114" i="28"/>
  <c r="B114" i="27"/>
  <c r="B113" i="27"/>
  <c r="A114" i="27"/>
  <c r="B114" i="15"/>
  <c r="A114" i="15"/>
  <c r="B114" i="16"/>
  <c r="A114" i="16"/>
  <c r="B114" i="17"/>
  <c r="A114" i="17"/>
  <c r="O386" i="1"/>
  <c r="D200" i="36" s="1"/>
  <c r="O385" i="1"/>
  <c r="D199" i="36" s="1"/>
  <c r="O384" i="1"/>
  <c r="P384" i="1" s="1"/>
  <c r="S128" i="33"/>
  <c r="D198" i="36" l="1"/>
  <c r="E198" i="36" s="1"/>
  <c r="P385" i="1"/>
  <c r="Y128" i="34"/>
  <c r="X128" i="34" s="1"/>
  <c r="R128" i="33"/>
  <c r="P386" i="1"/>
  <c r="E199" i="36" l="1"/>
  <c r="E200" i="36"/>
  <c r="C179" i="4"/>
  <c r="C182" i="4"/>
  <c r="C183" i="4"/>
  <c r="C184" i="4"/>
  <c r="C185" i="4"/>
  <c r="B179" i="4"/>
  <c r="B182" i="4"/>
  <c r="B183" i="4"/>
  <c r="B184" i="4"/>
  <c r="B185" i="4"/>
  <c r="B178" i="4"/>
  <c r="A178" i="4"/>
  <c r="C160" i="4"/>
  <c r="C161" i="4"/>
  <c r="C162" i="4"/>
  <c r="C163" i="4"/>
  <c r="C165" i="4"/>
  <c r="C166" i="4"/>
  <c r="C167" i="4"/>
  <c r="C168" i="4"/>
  <c r="C170" i="4"/>
  <c r="C171" i="4"/>
  <c r="C172" i="4"/>
  <c r="C173" i="4"/>
  <c r="C174" i="4"/>
  <c r="C175" i="4"/>
  <c r="C176" i="4"/>
  <c r="C177" i="4"/>
  <c r="B160" i="4"/>
  <c r="B161" i="4"/>
  <c r="B162" i="4"/>
  <c r="B163" i="4"/>
  <c r="B165" i="4"/>
  <c r="B166" i="4"/>
  <c r="B167" i="4"/>
  <c r="B168" i="4"/>
  <c r="B170" i="4"/>
  <c r="B171" i="4"/>
  <c r="B172" i="4"/>
  <c r="B173" i="4"/>
  <c r="B174" i="4"/>
  <c r="B175" i="4"/>
  <c r="B176" i="4"/>
  <c r="B177" i="4"/>
  <c r="B159" i="4"/>
  <c r="A159" i="4"/>
  <c r="D158" i="4"/>
  <c r="D157" i="4"/>
  <c r="D156" i="4"/>
  <c r="D155" i="4"/>
  <c r="F156" i="4"/>
  <c r="E156" i="4"/>
  <c r="F155" i="4"/>
  <c r="E155" i="4"/>
  <c r="D154" i="4"/>
  <c r="D153" i="4"/>
  <c r="D152" i="4"/>
  <c r="D150" i="4"/>
  <c r="D151" i="4"/>
  <c r="C150" i="4"/>
  <c r="C151" i="4"/>
  <c r="C152" i="4"/>
  <c r="C153" i="4"/>
  <c r="C154" i="4"/>
  <c r="C155" i="4"/>
  <c r="C156" i="4"/>
  <c r="C157" i="4"/>
  <c r="C158" i="4"/>
  <c r="B150" i="4"/>
  <c r="B151" i="4"/>
  <c r="B152" i="4"/>
  <c r="B153" i="4"/>
  <c r="B154" i="4"/>
  <c r="B155" i="4"/>
  <c r="B156" i="4"/>
  <c r="B157" i="4"/>
  <c r="B158" i="4"/>
  <c r="B149" i="4"/>
  <c r="A149" i="4"/>
  <c r="C145" i="4"/>
  <c r="C146" i="4"/>
  <c r="C147" i="4"/>
  <c r="C148" i="4"/>
  <c r="B145" i="4"/>
  <c r="B146" i="4"/>
  <c r="B147" i="4"/>
  <c r="B148" i="4"/>
  <c r="B144" i="4"/>
  <c r="A144" i="4"/>
  <c r="B142" i="4"/>
  <c r="A142" i="4"/>
  <c r="C137" i="4"/>
  <c r="C138" i="4"/>
  <c r="C139" i="4"/>
  <c r="C140" i="4"/>
  <c r="C141" i="4"/>
  <c r="B137" i="4"/>
  <c r="B138" i="4"/>
  <c r="B139" i="4"/>
  <c r="B140" i="4"/>
  <c r="B141" i="4"/>
  <c r="B136" i="4"/>
  <c r="A136" i="4"/>
  <c r="C124" i="4"/>
  <c r="C125" i="4"/>
  <c r="C126" i="4"/>
  <c r="C127" i="4"/>
  <c r="C128" i="4"/>
  <c r="C129" i="4"/>
  <c r="C130" i="4"/>
  <c r="C131" i="4"/>
  <c r="C132" i="4"/>
  <c r="C133" i="4"/>
  <c r="C134" i="4"/>
  <c r="C135" i="4"/>
  <c r="B124" i="4"/>
  <c r="B125" i="4"/>
  <c r="B126" i="4"/>
  <c r="B127" i="4"/>
  <c r="B128" i="4"/>
  <c r="B129" i="4"/>
  <c r="B130" i="4"/>
  <c r="B131" i="4"/>
  <c r="B132" i="4"/>
  <c r="B133" i="4"/>
  <c r="B134" i="4"/>
  <c r="B135" i="4"/>
  <c r="B123" i="4"/>
  <c r="A123" i="4"/>
  <c r="C120" i="4"/>
  <c r="C121" i="4"/>
  <c r="C122" i="4"/>
  <c r="B120" i="4"/>
  <c r="B121" i="4"/>
  <c r="B122" i="4"/>
  <c r="B119" i="4"/>
  <c r="A119" i="4"/>
  <c r="C114" i="4"/>
  <c r="C115" i="4"/>
  <c r="C116" i="4"/>
  <c r="C117" i="4"/>
  <c r="C118" i="4"/>
  <c r="B114" i="4"/>
  <c r="B115" i="4"/>
  <c r="B116" i="4"/>
  <c r="B117" i="4"/>
  <c r="B118" i="4"/>
  <c r="B113" i="4"/>
  <c r="A113" i="4"/>
  <c r="C111" i="4"/>
  <c r="C112" i="4"/>
  <c r="B111" i="4"/>
  <c r="B112" i="4"/>
  <c r="B110" i="4"/>
  <c r="A110" i="4"/>
  <c r="C106" i="4"/>
  <c r="E109" i="4"/>
  <c r="E106" i="4"/>
  <c r="E108" i="4"/>
  <c r="E105" i="4"/>
  <c r="E107" i="4"/>
  <c r="E104" i="4"/>
  <c r="D109" i="4"/>
  <c r="D106" i="4"/>
  <c r="D108" i="4"/>
  <c r="D105" i="4"/>
  <c r="D107" i="4"/>
  <c r="D104" i="4"/>
  <c r="C104" i="4"/>
  <c r="C105" i="4"/>
  <c r="C107" i="4"/>
  <c r="C108" i="4"/>
  <c r="C109" i="4"/>
  <c r="B104" i="4"/>
  <c r="B105" i="4"/>
  <c r="B106" i="4"/>
  <c r="B107" i="4"/>
  <c r="B108" i="4"/>
  <c r="B109" i="4"/>
  <c r="B103" i="4"/>
  <c r="A103" i="4"/>
  <c r="E100" i="4"/>
  <c r="E19" i="4"/>
  <c r="D100" i="4"/>
  <c r="D19" i="4"/>
  <c r="C96" i="4"/>
  <c r="C97" i="4"/>
  <c r="C98" i="4"/>
  <c r="C99" i="4"/>
  <c r="C100" i="4"/>
  <c r="C101" i="4"/>
  <c r="C102" i="4"/>
  <c r="B101" i="4"/>
  <c r="B102" i="4"/>
  <c r="B96" i="4"/>
  <c r="B97" i="4"/>
  <c r="B98" i="4"/>
  <c r="B99" i="4"/>
  <c r="B100" i="4"/>
  <c r="B95" i="4"/>
  <c r="A95" i="4"/>
  <c r="C86" i="4"/>
  <c r="C87" i="4"/>
  <c r="C88" i="4"/>
  <c r="C89" i="4"/>
  <c r="C90" i="4"/>
  <c r="C92" i="4"/>
  <c r="C93" i="4"/>
  <c r="C94" i="4"/>
  <c r="B86" i="4"/>
  <c r="B87" i="4"/>
  <c r="B88" i="4"/>
  <c r="B89" i="4"/>
  <c r="B90" i="4"/>
  <c r="B92" i="4"/>
  <c r="B93" i="4"/>
  <c r="B94" i="4"/>
  <c r="B85" i="4"/>
  <c r="A85" i="4"/>
  <c r="B83" i="4"/>
  <c r="A83" i="4"/>
  <c r="E82" i="4"/>
  <c r="E79" i="4"/>
  <c r="E78" i="4"/>
  <c r="D82" i="4"/>
  <c r="D79" i="4"/>
  <c r="D78" i="4"/>
  <c r="B81" i="4"/>
  <c r="C81" i="4"/>
  <c r="B82" i="4"/>
  <c r="C82" i="4"/>
  <c r="B77" i="4"/>
  <c r="C77" i="4"/>
  <c r="B78" i="4"/>
  <c r="C78" i="4"/>
  <c r="B79" i="4"/>
  <c r="C79" i="4"/>
  <c r="B80" i="4"/>
  <c r="C80" i="4"/>
  <c r="C76" i="4"/>
  <c r="B76" i="4"/>
  <c r="B73" i="4"/>
  <c r="A73" i="4"/>
  <c r="B68" i="4"/>
  <c r="A68" i="4"/>
  <c r="C65" i="4"/>
  <c r="C66" i="4"/>
  <c r="C67" i="4"/>
  <c r="B66" i="4"/>
  <c r="B67" i="4"/>
  <c r="B65" i="4"/>
  <c r="B63" i="4"/>
  <c r="A63" i="4"/>
  <c r="C60" i="4"/>
  <c r="C61" i="4"/>
  <c r="C62" i="4"/>
  <c r="B60" i="4"/>
  <c r="B61" i="4"/>
  <c r="B62" i="4"/>
  <c r="B59" i="4"/>
  <c r="A59" i="4"/>
  <c r="B58" i="4"/>
  <c r="A58" i="4"/>
  <c r="B54" i="4"/>
  <c r="C54" i="4"/>
  <c r="B55" i="4"/>
  <c r="C55" i="4"/>
  <c r="B56" i="4"/>
  <c r="C56" i="4"/>
  <c r="B57" i="4"/>
  <c r="C57" i="4"/>
  <c r="C53" i="4"/>
  <c r="B53" i="4"/>
  <c r="B50" i="4"/>
  <c r="A50" i="4"/>
  <c r="B45" i="4"/>
  <c r="C45" i="4"/>
  <c r="B46" i="4"/>
  <c r="C46" i="4"/>
  <c r="B47" i="4"/>
  <c r="C47" i="4"/>
  <c r="B48" i="4"/>
  <c r="C48" i="4"/>
  <c r="B44" i="4"/>
  <c r="A44" i="4"/>
  <c r="B38" i="4"/>
  <c r="C38" i="4"/>
  <c r="B39" i="4"/>
  <c r="C39" i="4"/>
  <c r="B40" i="4"/>
  <c r="C40" i="4"/>
  <c r="B41" i="4"/>
  <c r="C41" i="4"/>
  <c r="B42" i="4"/>
  <c r="C42" i="4"/>
  <c r="B43" i="4"/>
  <c r="C43" i="4"/>
  <c r="B37" i="4"/>
  <c r="A37" i="4"/>
  <c r="B34" i="4"/>
  <c r="C34" i="4"/>
  <c r="B35" i="4"/>
  <c r="C35" i="4"/>
  <c r="B36" i="4"/>
  <c r="C36" i="4"/>
  <c r="B33" i="4"/>
  <c r="A33" i="4"/>
  <c r="B31" i="4"/>
  <c r="C31" i="4"/>
  <c r="B32" i="4"/>
  <c r="C32" i="4"/>
  <c r="B30" i="4"/>
  <c r="A30" i="4"/>
  <c r="B20" i="4"/>
  <c r="C20" i="4"/>
  <c r="B21" i="4"/>
  <c r="C21" i="4"/>
  <c r="B22" i="4"/>
  <c r="C22" i="4"/>
  <c r="B23" i="4"/>
  <c r="C23" i="4"/>
  <c r="B24" i="4"/>
  <c r="C24" i="4"/>
  <c r="B25" i="4"/>
  <c r="C25" i="4"/>
  <c r="B26" i="4"/>
  <c r="C26" i="4"/>
  <c r="B27" i="4"/>
  <c r="C27" i="4"/>
  <c r="B28" i="4"/>
  <c r="C28" i="4"/>
  <c r="B29" i="4"/>
  <c r="C29" i="4"/>
  <c r="B19" i="4"/>
  <c r="A19" i="4"/>
  <c r="C15" i="4"/>
  <c r="C16" i="4"/>
  <c r="C17" i="4"/>
  <c r="C18" i="4"/>
  <c r="B15" i="4"/>
  <c r="B16" i="4"/>
  <c r="B17" i="4"/>
  <c r="B18" i="4"/>
  <c r="B14" i="4"/>
  <c r="A14" i="4"/>
  <c r="B12" i="4" l="1"/>
  <c r="C12" i="4"/>
  <c r="B13" i="4"/>
  <c r="C13" i="4"/>
  <c r="C11" i="4"/>
  <c r="B11" i="4"/>
  <c r="B10" i="4"/>
  <c r="A10" i="4"/>
  <c r="E147" i="4"/>
  <c r="E146" i="4"/>
  <c r="D147" i="4"/>
  <c r="D146" i="4"/>
  <c r="E140" i="4"/>
  <c r="E138" i="4"/>
  <c r="E139" i="4"/>
  <c r="D140" i="4"/>
  <c r="D138" i="4"/>
  <c r="D139" i="4"/>
  <c r="E141" i="4"/>
  <c r="E137" i="4"/>
  <c r="D141" i="4"/>
  <c r="D137" i="4"/>
  <c r="E133" i="4"/>
  <c r="E135" i="4"/>
  <c r="D133" i="4"/>
  <c r="D135" i="4"/>
  <c r="E134" i="4"/>
  <c r="E130" i="4"/>
  <c r="D134" i="4"/>
  <c r="D130" i="4"/>
  <c r="E127" i="4"/>
  <c r="E126" i="4"/>
  <c r="D127" i="4"/>
  <c r="D126" i="4"/>
  <c r="E115" i="4"/>
  <c r="E114" i="4"/>
  <c r="D115" i="4"/>
  <c r="D114" i="4"/>
  <c r="E98" i="4"/>
  <c r="E97" i="4"/>
  <c r="E96" i="4"/>
  <c r="D98" i="4"/>
  <c r="D97" i="4"/>
  <c r="D96" i="4"/>
  <c r="E94" i="4"/>
  <c r="E93" i="4"/>
  <c r="E92" i="4"/>
  <c r="D94" i="4"/>
  <c r="D93" i="4"/>
  <c r="D92" i="4"/>
  <c r="F221" i="4"/>
  <c r="E221" i="4"/>
  <c r="F220" i="4"/>
  <c r="E32" i="4"/>
  <c r="E31" i="4"/>
  <c r="D32" i="4"/>
  <c r="D31" i="4"/>
  <c r="E29" i="4"/>
  <c r="E28" i="4"/>
  <c r="E27" i="4"/>
  <c r="E26" i="4"/>
  <c r="E25" i="4"/>
  <c r="E24" i="4"/>
  <c r="E23" i="4"/>
  <c r="E22" i="4"/>
  <c r="E21" i="4"/>
  <c r="E20" i="4"/>
  <c r="D29" i="4"/>
  <c r="D28" i="4"/>
  <c r="D27" i="4"/>
  <c r="D26" i="4"/>
  <c r="D25" i="4"/>
  <c r="D24" i="4"/>
  <c r="D23" i="4"/>
  <c r="D22" i="4"/>
  <c r="D21" i="4"/>
  <c r="D20" i="4"/>
  <c r="E172" i="4"/>
  <c r="D172" i="4"/>
  <c r="D171" i="4"/>
  <c r="F151" i="4"/>
  <c r="D148" i="4"/>
  <c r="F149" i="4"/>
  <c r="F83" i="4"/>
  <c r="F75" i="4"/>
  <c r="E75" i="4"/>
  <c r="E73" i="4"/>
  <c r="F74" i="4"/>
  <c r="F73" i="4"/>
  <c r="F69" i="4"/>
  <c r="F68" i="4"/>
  <c r="E68" i="4"/>
  <c r="P2" i="36"/>
  <c r="B171" i="35" l="1"/>
  <c r="B170" i="35"/>
  <c r="B169" i="35"/>
  <c r="B168" i="35"/>
  <c r="B167" i="35"/>
  <c r="B164" i="35"/>
  <c r="B163" i="35"/>
  <c r="B162" i="35"/>
  <c r="B161" i="35"/>
  <c r="B160" i="35"/>
  <c r="B159" i="35"/>
  <c r="B156" i="35"/>
  <c r="B155" i="35"/>
  <c r="B154" i="35"/>
  <c r="B151" i="35"/>
  <c r="B148" i="35"/>
  <c r="B145" i="35"/>
  <c r="B144" i="35"/>
  <c r="B143" i="35"/>
  <c r="B142" i="35"/>
  <c r="B141" i="35"/>
  <c r="B138" i="35"/>
  <c r="B136" i="35"/>
  <c r="B133" i="35"/>
  <c r="B131" i="35"/>
  <c r="B130" i="35"/>
  <c r="B129" i="35"/>
  <c r="B128" i="35"/>
  <c r="B127" i="35"/>
  <c r="B126" i="35"/>
  <c r="B123" i="35"/>
  <c r="B122" i="35"/>
  <c r="B121" i="35"/>
  <c r="B120" i="35"/>
  <c r="B119" i="35"/>
  <c r="B118" i="35"/>
  <c r="B117" i="35"/>
  <c r="B113" i="35"/>
  <c r="B111" i="35"/>
  <c r="B108" i="35"/>
  <c r="B107" i="35"/>
  <c r="B106" i="35"/>
  <c r="B105" i="35"/>
  <c r="B104" i="35"/>
  <c r="B103" i="35"/>
  <c r="B102" i="35"/>
  <c r="B101" i="35"/>
  <c r="B100" i="35"/>
  <c r="B99" i="35"/>
  <c r="B98" i="35"/>
  <c r="B97" i="35"/>
  <c r="B96" i="35"/>
  <c r="B95" i="35"/>
  <c r="B94" i="35"/>
  <c r="B91" i="35"/>
  <c r="B90" i="35"/>
  <c r="B87" i="35"/>
  <c r="B86" i="35"/>
  <c r="B83" i="35"/>
  <c r="B82" i="35"/>
  <c r="B81" i="35"/>
  <c r="B78" i="35"/>
  <c r="B77" i="35"/>
  <c r="B74" i="35"/>
  <c r="B73" i="35"/>
  <c r="B70" i="35"/>
  <c r="B69" i="35"/>
  <c r="B68" i="35"/>
  <c r="B65" i="35"/>
  <c r="B64" i="35"/>
  <c r="B63" i="35"/>
  <c r="B62" i="35"/>
  <c r="B61" i="35"/>
  <c r="B60" i="35"/>
  <c r="B59" i="35"/>
  <c r="B58" i="35"/>
  <c r="B57" i="35"/>
  <c r="B56" i="35"/>
  <c r="B51" i="35"/>
  <c r="B50" i="35"/>
  <c r="B47" i="35"/>
  <c r="B46" i="35"/>
  <c r="B45" i="35"/>
  <c r="B44" i="35"/>
  <c r="B43" i="35"/>
  <c r="B42" i="35"/>
  <c r="B41" i="35"/>
  <c r="B40" i="35"/>
  <c r="B37" i="35"/>
  <c r="B36" i="35"/>
  <c r="B31" i="35"/>
  <c r="B30" i="35"/>
  <c r="B27" i="35"/>
  <c r="B24" i="35"/>
  <c r="B23" i="35"/>
  <c r="B22" i="35"/>
  <c r="B21" i="35"/>
  <c r="B18" i="35"/>
  <c r="B17" i="35"/>
  <c r="B16" i="35"/>
  <c r="B13" i="35"/>
  <c r="B12" i="35"/>
  <c r="B9" i="35"/>
  <c r="B8" i="35"/>
  <c r="B7" i="35"/>
  <c r="B6" i="35"/>
  <c r="C121" i="35"/>
  <c r="A121" i="35"/>
  <c r="C107" i="35"/>
  <c r="A107" i="35"/>
  <c r="C91" i="35"/>
  <c r="A91" i="35"/>
  <c r="A90" i="35"/>
  <c r="C61" i="35"/>
  <c r="A61" i="35"/>
  <c r="O463" i="1" l="1"/>
  <c r="H377" i="1"/>
  <c r="H166" i="1"/>
  <c r="E55" i="39"/>
  <c r="E56" i="39"/>
  <c r="E57" i="39"/>
  <c r="C55" i="39"/>
  <c r="C56" i="39"/>
  <c r="C57" i="39"/>
  <c r="C71" i="39"/>
  <c r="E54" i="39" l="1"/>
  <c r="F57" i="39" s="1"/>
  <c r="F55" i="39" l="1"/>
  <c r="F56" i="39"/>
  <c r="G79" i="38"/>
  <c r="J79" i="38" s="1"/>
  <c r="E4" i="39"/>
  <c r="C132" i="39"/>
  <c r="D132" i="39"/>
  <c r="E132" i="39"/>
  <c r="C133" i="39"/>
  <c r="D133" i="39"/>
  <c r="E133" i="39"/>
  <c r="C134" i="39"/>
  <c r="D134" i="39"/>
  <c r="E134" i="39"/>
  <c r="C135" i="39"/>
  <c r="D135" i="39"/>
  <c r="E135" i="39"/>
  <c r="B136" i="39"/>
  <c r="C136" i="39"/>
  <c r="E136" i="39"/>
  <c r="C137" i="39"/>
  <c r="D137" i="39"/>
  <c r="E137" i="39"/>
  <c r="C138" i="39"/>
  <c r="D138" i="39"/>
  <c r="E138" i="39"/>
  <c r="C139" i="39"/>
  <c r="D139" i="39"/>
  <c r="E139" i="39"/>
  <c r="C140" i="39"/>
  <c r="D140" i="39"/>
  <c r="E140" i="39"/>
  <c r="C141" i="39"/>
  <c r="D141" i="39"/>
  <c r="E141" i="39"/>
  <c r="C142" i="39"/>
  <c r="D142" i="39"/>
  <c r="E142" i="39"/>
  <c r="C143" i="39"/>
  <c r="D143" i="39"/>
  <c r="E143" i="39"/>
  <c r="C144" i="39"/>
  <c r="D144" i="39"/>
  <c r="E144" i="39"/>
  <c r="C145" i="39"/>
  <c r="D145" i="39"/>
  <c r="E145" i="39"/>
  <c r="B146" i="39"/>
  <c r="C146" i="39"/>
  <c r="C147" i="39"/>
  <c r="D147" i="39"/>
  <c r="E147" i="39"/>
  <c r="C148" i="39"/>
  <c r="D148" i="39"/>
  <c r="E148" i="39"/>
  <c r="C149" i="39"/>
  <c r="D149" i="39"/>
  <c r="E149" i="39"/>
  <c r="C150" i="39"/>
  <c r="D150" i="39"/>
  <c r="E150" i="39"/>
  <c r="C151" i="39"/>
  <c r="D151" i="39"/>
  <c r="E151" i="39"/>
  <c r="C152" i="39"/>
  <c r="D152" i="39"/>
  <c r="E152" i="39"/>
  <c r="C153" i="39"/>
  <c r="D153" i="39"/>
  <c r="E153" i="39"/>
  <c r="C154" i="39"/>
  <c r="D154" i="39"/>
  <c r="E154" i="39"/>
  <c r="C155" i="39"/>
  <c r="D155" i="39"/>
  <c r="E155" i="39"/>
  <c r="C156" i="39"/>
  <c r="D156" i="39"/>
  <c r="E156" i="39"/>
  <c r="C157" i="39"/>
  <c r="D157" i="39"/>
  <c r="E157" i="39"/>
  <c r="C158" i="39"/>
  <c r="D158" i="39"/>
  <c r="E158" i="39"/>
  <c r="C159" i="39"/>
  <c r="D159" i="39"/>
  <c r="E159" i="39"/>
  <c r="C160" i="39"/>
  <c r="D160" i="39"/>
  <c r="E160" i="39"/>
  <c r="C161" i="39"/>
  <c r="D161" i="39"/>
  <c r="E161" i="39"/>
  <c r="C162" i="39"/>
  <c r="D162" i="39"/>
  <c r="E162" i="39"/>
  <c r="B166" i="39"/>
  <c r="C166" i="39"/>
  <c r="C167" i="39"/>
  <c r="D167" i="39"/>
  <c r="E167" i="39"/>
  <c r="C168" i="39"/>
  <c r="D168" i="39"/>
  <c r="E168" i="39"/>
  <c r="C169" i="39"/>
  <c r="D169" i="39"/>
  <c r="E169" i="39"/>
  <c r="C170" i="39"/>
  <c r="D170" i="39"/>
  <c r="E170" i="39"/>
  <c r="C171" i="39"/>
  <c r="D171" i="39"/>
  <c r="E171" i="39"/>
  <c r="B172" i="39"/>
  <c r="C172" i="39"/>
  <c r="E172" i="39"/>
  <c r="F172" i="39" s="1"/>
  <c r="B173" i="39"/>
  <c r="C173" i="39"/>
  <c r="C174" i="39"/>
  <c r="D174" i="39"/>
  <c r="E174" i="39"/>
  <c r="C175" i="39"/>
  <c r="D175" i="39"/>
  <c r="E175" i="39"/>
  <c r="C176" i="39"/>
  <c r="D176" i="39"/>
  <c r="E176" i="39"/>
  <c r="C177" i="39"/>
  <c r="D177" i="39"/>
  <c r="E177" i="39"/>
  <c r="C178" i="39"/>
  <c r="D178" i="39"/>
  <c r="E178" i="39"/>
  <c r="C179" i="39"/>
  <c r="D179" i="39"/>
  <c r="E179" i="39"/>
  <c r="B180" i="39"/>
  <c r="C180" i="39"/>
  <c r="C181" i="39"/>
  <c r="D181" i="39"/>
  <c r="E181" i="39"/>
  <c r="C182" i="39"/>
  <c r="D182" i="39"/>
  <c r="E182" i="39"/>
  <c r="C183" i="39"/>
  <c r="D183" i="39"/>
  <c r="E183" i="39"/>
  <c r="C184" i="39"/>
  <c r="D184" i="39"/>
  <c r="E184" i="39"/>
  <c r="C185" i="39"/>
  <c r="D185" i="39"/>
  <c r="E185" i="39"/>
  <c r="C186" i="39"/>
  <c r="D186" i="39"/>
  <c r="E186" i="39"/>
  <c r="C187" i="39"/>
  <c r="D187" i="39"/>
  <c r="E187" i="39"/>
  <c r="C188" i="39"/>
  <c r="D188" i="39"/>
  <c r="E188" i="39"/>
  <c r="C189" i="39"/>
  <c r="D189" i="39"/>
  <c r="E189" i="39"/>
  <c r="C190" i="39"/>
  <c r="D190" i="39"/>
  <c r="E190" i="39"/>
  <c r="B191" i="39"/>
  <c r="C191" i="39"/>
  <c r="C192" i="39"/>
  <c r="D192" i="39"/>
  <c r="E192" i="39"/>
  <c r="C193" i="39"/>
  <c r="D193" i="39"/>
  <c r="E193" i="39"/>
  <c r="C194" i="39"/>
  <c r="D194" i="39"/>
  <c r="E194" i="39"/>
  <c r="C195" i="39"/>
  <c r="D195" i="39"/>
  <c r="E195" i="39"/>
  <c r="C196" i="39"/>
  <c r="D196" i="39"/>
  <c r="E196" i="39"/>
  <c r="C197" i="39"/>
  <c r="D197" i="39"/>
  <c r="E197" i="39"/>
  <c r="B198" i="39"/>
  <c r="C198" i="39"/>
  <c r="C199" i="39"/>
  <c r="D199" i="39"/>
  <c r="E199" i="39"/>
  <c r="C200" i="39"/>
  <c r="D200" i="39"/>
  <c r="E200" i="39"/>
  <c r="C201" i="39"/>
  <c r="D201" i="39"/>
  <c r="E201" i="39"/>
  <c r="B202" i="39"/>
  <c r="C202" i="39"/>
  <c r="C203" i="39"/>
  <c r="D203" i="39"/>
  <c r="E203" i="39"/>
  <c r="C204" i="39"/>
  <c r="D204" i="39"/>
  <c r="E204" i="39"/>
  <c r="B205" i="39"/>
  <c r="C205" i="39"/>
  <c r="E205" i="39"/>
  <c r="F205" i="39" s="1"/>
  <c r="C126" i="39"/>
  <c r="D126" i="39"/>
  <c r="E126" i="39"/>
  <c r="C127" i="39"/>
  <c r="D127" i="39"/>
  <c r="E127" i="39"/>
  <c r="C128" i="39"/>
  <c r="D128" i="39"/>
  <c r="E128" i="39"/>
  <c r="C129" i="39"/>
  <c r="D129" i="39"/>
  <c r="E129" i="39"/>
  <c r="B130" i="39"/>
  <c r="C130" i="39"/>
  <c r="E130" i="39"/>
  <c r="F130" i="39" s="1"/>
  <c r="B131" i="39"/>
  <c r="C131" i="39"/>
  <c r="C123" i="39"/>
  <c r="D123" i="39"/>
  <c r="E123" i="39"/>
  <c r="B124" i="39"/>
  <c r="C124" i="39"/>
  <c r="E124" i="39"/>
  <c r="C125" i="39"/>
  <c r="D125" i="39"/>
  <c r="E125" i="39"/>
  <c r="E48" i="39"/>
  <c r="F48" i="39" s="1"/>
  <c r="E49" i="39"/>
  <c r="F49" i="39" s="1"/>
  <c r="E50" i="39"/>
  <c r="E51" i="39"/>
  <c r="E52" i="39"/>
  <c r="E53" i="39"/>
  <c r="F54" i="39"/>
  <c r="E58" i="39"/>
  <c r="F58" i="39" s="1"/>
  <c r="E59" i="39"/>
  <c r="E60" i="39"/>
  <c r="E61" i="39"/>
  <c r="E62" i="39"/>
  <c r="E63" i="39"/>
  <c r="E64" i="39"/>
  <c r="E65" i="39"/>
  <c r="E66" i="39"/>
  <c r="E70" i="39"/>
  <c r="F70" i="39" s="1"/>
  <c r="E72" i="39"/>
  <c r="E73" i="39"/>
  <c r="E74" i="39"/>
  <c r="E75" i="39"/>
  <c r="E76" i="39"/>
  <c r="E77" i="39"/>
  <c r="E78" i="39"/>
  <c r="E79" i="39"/>
  <c r="E81" i="39"/>
  <c r="E82" i="39"/>
  <c r="E83" i="39"/>
  <c r="E84" i="39"/>
  <c r="E85" i="39"/>
  <c r="E86" i="39"/>
  <c r="E87" i="39"/>
  <c r="E92" i="39"/>
  <c r="E93" i="39"/>
  <c r="E94" i="39"/>
  <c r="E95" i="39"/>
  <c r="E96" i="39"/>
  <c r="E97" i="39"/>
  <c r="E98" i="39"/>
  <c r="E99" i="39"/>
  <c r="E100" i="39"/>
  <c r="E102" i="39"/>
  <c r="E103" i="39"/>
  <c r="E104" i="39"/>
  <c r="E105" i="39"/>
  <c r="E106" i="39"/>
  <c r="E108" i="39"/>
  <c r="E109" i="39"/>
  <c r="E110" i="39"/>
  <c r="E112" i="39"/>
  <c r="E113" i="39"/>
  <c r="E114" i="39"/>
  <c r="E115" i="39"/>
  <c r="E116" i="39"/>
  <c r="E117" i="39"/>
  <c r="E118" i="39"/>
  <c r="E119" i="39"/>
  <c r="E120" i="39"/>
  <c r="E121" i="39"/>
  <c r="E122" i="39"/>
  <c r="C79" i="39"/>
  <c r="D79" i="39"/>
  <c r="B80" i="39"/>
  <c r="C80" i="39"/>
  <c r="C81" i="39"/>
  <c r="D81" i="39"/>
  <c r="C82" i="39"/>
  <c r="D82" i="39"/>
  <c r="C83" i="39"/>
  <c r="D83" i="39"/>
  <c r="C84" i="39"/>
  <c r="D84" i="39"/>
  <c r="C85" i="39"/>
  <c r="D85" i="39"/>
  <c r="C86" i="39"/>
  <c r="D86" i="39"/>
  <c r="C87" i="39"/>
  <c r="D87" i="39"/>
  <c r="B91" i="39"/>
  <c r="C91" i="39"/>
  <c r="C92" i="39"/>
  <c r="D92" i="39"/>
  <c r="C93" i="39"/>
  <c r="D93" i="39"/>
  <c r="C94" i="39"/>
  <c r="D94" i="39"/>
  <c r="C95" i="39"/>
  <c r="D95" i="39"/>
  <c r="C96" i="39"/>
  <c r="D96" i="39"/>
  <c r="C97" i="39"/>
  <c r="D97" i="39"/>
  <c r="B98" i="39"/>
  <c r="C98" i="39"/>
  <c r="C99" i="39"/>
  <c r="D99" i="39"/>
  <c r="C100" i="39"/>
  <c r="D100" i="39"/>
  <c r="B101" i="39"/>
  <c r="C101" i="39"/>
  <c r="C102" i="39"/>
  <c r="D102" i="39"/>
  <c r="C103" i="39"/>
  <c r="D103" i="39"/>
  <c r="C104" i="39"/>
  <c r="D104" i="39"/>
  <c r="C105" i="39"/>
  <c r="D105" i="39"/>
  <c r="C106" i="39"/>
  <c r="D106" i="39"/>
  <c r="B107" i="39"/>
  <c r="C107" i="39"/>
  <c r="C108" i="39"/>
  <c r="D108" i="39"/>
  <c r="C109" i="39"/>
  <c r="D109" i="39"/>
  <c r="C110" i="39"/>
  <c r="D110" i="39"/>
  <c r="B111" i="39"/>
  <c r="C111" i="39"/>
  <c r="C112" i="39"/>
  <c r="D112" i="39"/>
  <c r="C113" i="39"/>
  <c r="D113" i="39"/>
  <c r="C114" i="39"/>
  <c r="D114" i="39"/>
  <c r="C115" i="39"/>
  <c r="D115" i="39"/>
  <c r="C116" i="39"/>
  <c r="D116" i="39"/>
  <c r="C117" i="39"/>
  <c r="D117" i="39"/>
  <c r="C118" i="39"/>
  <c r="D118" i="39"/>
  <c r="C119" i="39"/>
  <c r="D119" i="39"/>
  <c r="C120" i="39"/>
  <c r="D120" i="39"/>
  <c r="C121" i="39"/>
  <c r="D121" i="39"/>
  <c r="C122" i="39"/>
  <c r="D122" i="39"/>
  <c r="C66" i="39"/>
  <c r="D66" i="39"/>
  <c r="B70" i="39"/>
  <c r="C70" i="39"/>
  <c r="B71" i="39"/>
  <c r="C72" i="39"/>
  <c r="D72" i="39"/>
  <c r="C73" i="39"/>
  <c r="D73" i="39"/>
  <c r="C74" i="39"/>
  <c r="D74" i="39"/>
  <c r="C75" i="39"/>
  <c r="D75" i="39"/>
  <c r="C76" i="39"/>
  <c r="D76" i="39"/>
  <c r="C77" i="39"/>
  <c r="D77" i="39"/>
  <c r="C78" i="39"/>
  <c r="D78" i="39"/>
  <c r="B49" i="39"/>
  <c r="C49" i="39"/>
  <c r="B50" i="39"/>
  <c r="C50" i="39"/>
  <c r="C51" i="39"/>
  <c r="D51" i="39"/>
  <c r="C52" i="39"/>
  <c r="D52" i="39"/>
  <c r="C53" i="39"/>
  <c r="D53" i="39"/>
  <c r="B54" i="39"/>
  <c r="C54" i="39"/>
  <c r="B58" i="39"/>
  <c r="C58" i="39"/>
  <c r="B59" i="39"/>
  <c r="C59" i="39"/>
  <c r="C60" i="39"/>
  <c r="D60" i="39"/>
  <c r="C61" i="39"/>
  <c r="D61" i="39"/>
  <c r="C62" i="39"/>
  <c r="D62" i="39"/>
  <c r="C63" i="39"/>
  <c r="D63" i="39"/>
  <c r="C64" i="39"/>
  <c r="D64" i="39"/>
  <c r="C65" i="39"/>
  <c r="D65" i="39"/>
  <c r="C48" i="39"/>
  <c r="B48" i="39"/>
  <c r="B7" i="39"/>
  <c r="B12" i="39"/>
  <c r="B23" i="39"/>
  <c r="B26" i="39"/>
  <c r="B30" i="39"/>
  <c r="B38" i="39"/>
  <c r="E5" i="39"/>
  <c r="E6" i="39"/>
  <c r="E8" i="39"/>
  <c r="E9" i="39"/>
  <c r="E10" i="39"/>
  <c r="E11" i="39"/>
  <c r="E13" i="39"/>
  <c r="E14" i="39"/>
  <c r="E15" i="39"/>
  <c r="E16" i="39"/>
  <c r="E17" i="39"/>
  <c r="E18" i="39"/>
  <c r="E19" i="39"/>
  <c r="E20" i="39"/>
  <c r="E21" i="39"/>
  <c r="E22" i="39"/>
  <c r="E23" i="39"/>
  <c r="E24" i="39"/>
  <c r="E25" i="39"/>
  <c r="E26" i="39"/>
  <c r="E27" i="39"/>
  <c r="E28" i="39"/>
  <c r="E29" i="39"/>
  <c r="E30" i="39"/>
  <c r="E31" i="39"/>
  <c r="E32" i="39"/>
  <c r="E33" i="39"/>
  <c r="E34" i="39"/>
  <c r="F34" i="39" s="1"/>
  <c r="E35" i="39"/>
  <c r="E36" i="39"/>
  <c r="E37" i="39"/>
  <c r="E38" i="39"/>
  <c r="E39" i="39"/>
  <c r="E40" i="39"/>
  <c r="E41" i="39"/>
  <c r="E42" i="39"/>
  <c r="F42" i="39" s="1"/>
  <c r="E43" i="39"/>
  <c r="E44" i="39"/>
  <c r="E3" i="39"/>
  <c r="D5" i="39"/>
  <c r="D6" i="39"/>
  <c r="D8" i="39"/>
  <c r="D9" i="39"/>
  <c r="D10" i="39"/>
  <c r="D11" i="39"/>
  <c r="D13" i="39"/>
  <c r="D14" i="39"/>
  <c r="D15" i="39"/>
  <c r="D16" i="39"/>
  <c r="D17" i="39"/>
  <c r="D18" i="39"/>
  <c r="D19" i="39"/>
  <c r="D20" i="39"/>
  <c r="D21" i="39"/>
  <c r="D22" i="39"/>
  <c r="D24" i="39"/>
  <c r="D25" i="39"/>
  <c r="D27" i="39"/>
  <c r="D28" i="39"/>
  <c r="D29" i="39"/>
  <c r="D31" i="39"/>
  <c r="D32" i="39"/>
  <c r="D33" i="39"/>
  <c r="D34" i="39"/>
  <c r="D35" i="39"/>
  <c r="D36" i="39"/>
  <c r="D37" i="39"/>
  <c r="D39" i="39"/>
  <c r="D40" i="39"/>
  <c r="D41" i="39"/>
  <c r="D42" i="39"/>
  <c r="D43" i="39"/>
  <c r="D44" i="39"/>
  <c r="D4" i="39"/>
  <c r="C3"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 i="39"/>
  <c r="B3" i="39"/>
  <c r="K231" i="38"/>
  <c r="K230" i="38"/>
  <c r="K229" i="38"/>
  <c r="J228" i="38"/>
  <c r="E228" i="38"/>
  <c r="I228" i="38" s="1"/>
  <c r="K228" i="38" s="1"/>
  <c r="K227" i="38"/>
  <c r="K226" i="38"/>
  <c r="K225" i="38"/>
  <c r="K224" i="38"/>
  <c r="K223" i="38"/>
  <c r="J222" i="38"/>
  <c r="E222" i="38"/>
  <c r="I222" i="38" s="1"/>
  <c r="K222" i="38" s="1"/>
  <c r="K221" i="38"/>
  <c r="K220" i="38"/>
  <c r="J219" i="38"/>
  <c r="E219" i="38"/>
  <c r="I219" i="38" s="1"/>
  <c r="K219" i="38" s="1"/>
  <c r="K218" i="38"/>
  <c r="K217" i="38"/>
  <c r="K216" i="38"/>
  <c r="K215" i="38"/>
  <c r="K214" i="38"/>
  <c r="K213" i="38"/>
  <c r="K212" i="38"/>
  <c r="K211" i="38"/>
  <c r="K210" i="38"/>
  <c r="J209" i="38"/>
  <c r="E209" i="38"/>
  <c r="I209" i="38" s="1"/>
  <c r="J207" i="38"/>
  <c r="I207" i="38"/>
  <c r="K206" i="38"/>
  <c r="K205" i="38"/>
  <c r="J204" i="38"/>
  <c r="E204" i="38"/>
  <c r="I204" i="38" s="1"/>
  <c r="K203" i="38"/>
  <c r="K202" i="38"/>
  <c r="K201" i="38"/>
  <c r="J200" i="38"/>
  <c r="E200" i="38"/>
  <c r="I200" i="38" s="1"/>
  <c r="K199" i="38"/>
  <c r="K198" i="38"/>
  <c r="K197" i="38"/>
  <c r="K196" i="38"/>
  <c r="K195" i="38"/>
  <c r="K194" i="38"/>
  <c r="G193" i="38"/>
  <c r="J193" i="38" s="1"/>
  <c r="E193" i="38"/>
  <c r="I193" i="38" s="1"/>
  <c r="K192" i="38"/>
  <c r="K191" i="38"/>
  <c r="K190" i="38"/>
  <c r="K189" i="38"/>
  <c r="K188" i="38"/>
  <c r="K187" i="38"/>
  <c r="K186" i="38"/>
  <c r="K185" i="38"/>
  <c r="K184" i="38"/>
  <c r="K183" i="38"/>
  <c r="G182" i="38"/>
  <c r="J182" i="38" s="1"/>
  <c r="E182" i="38"/>
  <c r="I182" i="38" s="1"/>
  <c r="K181" i="38"/>
  <c r="K180" i="38"/>
  <c r="K179" i="38"/>
  <c r="K178" i="38"/>
  <c r="K177" i="38"/>
  <c r="K176" i="38"/>
  <c r="J175" i="38"/>
  <c r="E175" i="38"/>
  <c r="I175" i="38" s="1"/>
  <c r="J174" i="38"/>
  <c r="I174" i="38"/>
  <c r="K173" i="38"/>
  <c r="K169" i="38"/>
  <c r="J168" i="38"/>
  <c r="E168" i="38"/>
  <c r="I168" i="38" s="1"/>
  <c r="K167" i="38"/>
  <c r="K166" i="38"/>
  <c r="K165" i="38"/>
  <c r="K164" i="38"/>
  <c r="K163" i="38"/>
  <c r="K162" i="38"/>
  <c r="K161" i="38"/>
  <c r="K155" i="38"/>
  <c r="K154" i="38"/>
  <c r="K153" i="38"/>
  <c r="K152" i="38"/>
  <c r="G151" i="38"/>
  <c r="J151" i="38" s="1"/>
  <c r="E151" i="38"/>
  <c r="I151" i="38" s="1"/>
  <c r="K150" i="38"/>
  <c r="K149" i="38"/>
  <c r="K148" i="38"/>
  <c r="K147" i="38"/>
  <c r="K146" i="38"/>
  <c r="K145" i="38"/>
  <c r="K144" i="38"/>
  <c r="K143" i="38"/>
  <c r="K142" i="38"/>
  <c r="J141" i="38"/>
  <c r="E141" i="38"/>
  <c r="I141" i="38" s="1"/>
  <c r="K141" i="38" s="1"/>
  <c r="K140" i="38"/>
  <c r="K139" i="38"/>
  <c r="K138" i="38"/>
  <c r="K137" i="38"/>
  <c r="G136" i="38"/>
  <c r="J136" i="38" s="1"/>
  <c r="E136" i="38"/>
  <c r="I136" i="38" s="1"/>
  <c r="J135" i="38"/>
  <c r="I135" i="38"/>
  <c r="J129" i="38"/>
  <c r="E129" i="38"/>
  <c r="I129" i="38" s="1"/>
  <c r="G116" i="38"/>
  <c r="J116" i="38" s="1"/>
  <c r="E116" i="38"/>
  <c r="I116" i="38" s="1"/>
  <c r="K115" i="38"/>
  <c r="K114" i="38"/>
  <c r="K113" i="38"/>
  <c r="G112" i="38"/>
  <c r="J112" i="38" s="1"/>
  <c r="E112" i="38"/>
  <c r="I112" i="38" s="1"/>
  <c r="K111" i="38"/>
  <c r="K110" i="38"/>
  <c r="K109" i="38"/>
  <c r="K108" i="38"/>
  <c r="K107" i="38"/>
  <c r="G106" i="38"/>
  <c r="J106" i="38" s="1"/>
  <c r="E106" i="38"/>
  <c r="I106" i="38" s="1"/>
  <c r="K105" i="38"/>
  <c r="K104" i="38"/>
  <c r="J103" i="38"/>
  <c r="E103" i="38"/>
  <c r="I103" i="38" s="1"/>
  <c r="K102" i="38"/>
  <c r="K101" i="38"/>
  <c r="K100" i="38"/>
  <c r="K99" i="38"/>
  <c r="K98" i="38"/>
  <c r="K97" i="38"/>
  <c r="G96" i="38"/>
  <c r="J96" i="38" s="1"/>
  <c r="E96" i="38"/>
  <c r="I96" i="38" s="1"/>
  <c r="K95" i="38"/>
  <c r="K93" i="38"/>
  <c r="K92" i="38"/>
  <c r="K91" i="38"/>
  <c r="K90" i="38"/>
  <c r="K89" i="38"/>
  <c r="G88" i="38"/>
  <c r="J88" i="38" s="1"/>
  <c r="K87" i="38"/>
  <c r="K86" i="38"/>
  <c r="K85" i="38"/>
  <c r="K84" i="38"/>
  <c r="K83" i="38"/>
  <c r="K82" i="38"/>
  <c r="K81" i="38"/>
  <c r="K80" i="38"/>
  <c r="E79" i="38"/>
  <c r="I79" i="38" s="1"/>
  <c r="J78" i="38"/>
  <c r="I78" i="38"/>
  <c r="K77" i="38"/>
  <c r="K76" i="38"/>
  <c r="K75" i="38"/>
  <c r="K73" i="38"/>
  <c r="K72" i="38"/>
  <c r="K71" i="38"/>
  <c r="J70" i="38"/>
  <c r="E70" i="38"/>
  <c r="I70" i="38" s="1"/>
  <c r="J69" i="38"/>
  <c r="I69" i="38"/>
  <c r="K68" i="38"/>
  <c r="K67" i="38"/>
  <c r="K66" i="38"/>
  <c r="J65" i="38"/>
  <c r="E65" i="38"/>
  <c r="I65" i="38" s="1"/>
  <c r="K64" i="38"/>
  <c r="K63" i="38"/>
  <c r="K62" i="38"/>
  <c r="J61" i="38"/>
  <c r="E61" i="38"/>
  <c r="I61" i="38" s="1"/>
  <c r="J60" i="38"/>
  <c r="I60" i="38"/>
  <c r="K59" i="38"/>
  <c r="K58" i="38"/>
  <c r="K57" i="38"/>
  <c r="K56" i="38"/>
  <c r="K55" i="38"/>
  <c r="J54" i="38"/>
  <c r="E54" i="38"/>
  <c r="I54" i="38" s="1"/>
  <c r="K53" i="38"/>
  <c r="K52" i="38"/>
  <c r="K51" i="38"/>
  <c r="K50" i="38"/>
  <c r="K49" i="38"/>
  <c r="K48" i="38"/>
  <c r="J47" i="38"/>
  <c r="E47" i="38"/>
  <c r="I47" i="38" s="1"/>
  <c r="K46" i="38"/>
  <c r="K45" i="38"/>
  <c r="K44" i="38"/>
  <c r="K43" i="38"/>
  <c r="K42" i="38"/>
  <c r="K41" i="38"/>
  <c r="K40" i="38"/>
  <c r="J39" i="38"/>
  <c r="E39" i="38"/>
  <c r="I39" i="38" s="1"/>
  <c r="K38" i="38"/>
  <c r="K37" i="38"/>
  <c r="K36" i="38"/>
  <c r="J35" i="38"/>
  <c r="E35" i="38"/>
  <c r="I35" i="38" s="1"/>
  <c r="K34" i="38"/>
  <c r="K33" i="38"/>
  <c r="J32" i="38"/>
  <c r="E32" i="38"/>
  <c r="I32" i="38" s="1"/>
  <c r="K31" i="38"/>
  <c r="K22" i="38"/>
  <c r="G21" i="38"/>
  <c r="E12" i="39" s="1"/>
  <c r="E21" i="38"/>
  <c r="I21" i="38" s="1"/>
  <c r="K20" i="38"/>
  <c r="K19" i="38"/>
  <c r="K18" i="38"/>
  <c r="K17" i="38"/>
  <c r="G16" i="38"/>
  <c r="J16" i="38" s="1"/>
  <c r="E16" i="38"/>
  <c r="I16" i="38" s="1"/>
  <c r="K15" i="38"/>
  <c r="K14" i="38"/>
  <c r="K13" i="38"/>
  <c r="J12" i="38"/>
  <c r="E12" i="38"/>
  <c r="I12" i="38" s="1"/>
  <c r="K61" i="38" l="1"/>
  <c r="K70" i="38"/>
  <c r="K78" i="38"/>
  <c r="K129" i="38"/>
  <c r="K136" i="38"/>
  <c r="K175" i="38"/>
  <c r="K200" i="38"/>
  <c r="M12" i="38"/>
  <c r="K32" i="38"/>
  <c r="K35" i="38"/>
  <c r="K174" i="38"/>
  <c r="K12" i="38"/>
  <c r="F94" i="38"/>
  <c r="E88" i="38" s="1"/>
  <c r="I88" i="38" s="1"/>
  <c r="I233" i="38" s="1"/>
  <c r="N209" i="38"/>
  <c r="E71" i="39"/>
  <c r="F79" i="39" s="1"/>
  <c r="J21" i="38"/>
  <c r="N12" i="38" s="1"/>
  <c r="K103" i="38"/>
  <c r="K204" i="38"/>
  <c r="K182" i="38"/>
  <c r="E111" i="39"/>
  <c r="F119" i="39" s="1"/>
  <c r="E107" i="39"/>
  <c r="F110" i="39" s="1"/>
  <c r="E91" i="39"/>
  <c r="F95" i="39" s="1"/>
  <c r="E80" i="39"/>
  <c r="F84" i="39" s="1"/>
  <c r="E131" i="39"/>
  <c r="F141" i="39" s="1"/>
  <c r="E146" i="39"/>
  <c r="F154" i="39" s="1"/>
  <c r="K193" i="38"/>
  <c r="N54" i="38"/>
  <c r="K39" i="38"/>
  <c r="K65" i="38"/>
  <c r="K106" i="38"/>
  <c r="N168" i="38"/>
  <c r="L200" i="38" s="1"/>
  <c r="G198" i="39" s="1"/>
  <c r="E4" i="1" s="1"/>
  <c r="E7" i="39"/>
  <c r="F11" i="39" s="1"/>
  <c r="E101" i="39"/>
  <c r="F105" i="39" s="1"/>
  <c r="K16" i="38"/>
  <c r="K47" i="38"/>
  <c r="K60" i="38"/>
  <c r="K69" i="38"/>
  <c r="K135" i="38"/>
  <c r="K207" i="38"/>
  <c r="F29" i="39"/>
  <c r="F151" i="39"/>
  <c r="E191" i="39"/>
  <c r="F196" i="39" s="1"/>
  <c r="E180" i="39"/>
  <c r="F184" i="39" s="1"/>
  <c r="E166" i="39"/>
  <c r="F171" i="39" s="1"/>
  <c r="F153" i="39"/>
  <c r="F43" i="39"/>
  <c r="F39" i="39"/>
  <c r="F35" i="39"/>
  <c r="F31" i="39"/>
  <c r="F27" i="39"/>
  <c r="F64" i="39"/>
  <c r="F60" i="39"/>
  <c r="F152" i="39"/>
  <c r="E202" i="39"/>
  <c r="F203" i="39" s="1"/>
  <c r="F63" i="39"/>
  <c r="F41" i="39"/>
  <c r="F37" i="39"/>
  <c r="F33" i="39"/>
  <c r="F66" i="39"/>
  <c r="F62" i="39"/>
  <c r="F125" i="39"/>
  <c r="E173" i="39"/>
  <c r="F174" i="39" s="1"/>
  <c r="F44" i="39"/>
  <c r="F40" i="39"/>
  <c r="F36" i="39"/>
  <c r="F32" i="39"/>
  <c r="F28" i="39"/>
  <c r="F65" i="39"/>
  <c r="F61" i="39"/>
  <c r="E198" i="39"/>
  <c r="F201" i="39" s="1"/>
  <c r="F16" i="39"/>
  <c r="F24" i="39"/>
  <c r="F19" i="39"/>
  <c r="F15" i="39"/>
  <c r="F53" i="39"/>
  <c r="F128" i="39"/>
  <c r="F137" i="39"/>
  <c r="F20" i="39"/>
  <c r="F22" i="39"/>
  <c r="F18" i="39"/>
  <c r="F14" i="39"/>
  <c r="F52" i="39"/>
  <c r="F21" i="39"/>
  <c r="F17" i="39"/>
  <c r="F13" i="39"/>
  <c r="F5" i="39"/>
  <c r="F51" i="39"/>
  <c r="F126" i="39"/>
  <c r="F6" i="39"/>
  <c r="F129" i="39"/>
  <c r="F189" i="39"/>
  <c r="F25" i="39"/>
  <c r="F100" i="39"/>
  <c r="F4" i="39"/>
  <c r="F99" i="39"/>
  <c r="F127" i="39"/>
  <c r="F182" i="39"/>
  <c r="K168" i="38"/>
  <c r="M168" i="38"/>
  <c r="N78" i="38"/>
  <c r="L78" i="38" s="1"/>
  <c r="G70" i="39" s="1"/>
  <c r="I70" i="39" s="1"/>
  <c r="L182" i="38"/>
  <c r="G180" i="39" s="1"/>
  <c r="K209" i="38"/>
  <c r="M209" i="38"/>
  <c r="K79" i="38"/>
  <c r="K112" i="38"/>
  <c r="K116" i="38"/>
  <c r="L69" i="38"/>
  <c r="G58" i="39" s="1"/>
  <c r="I58" i="39" s="1"/>
  <c r="E40" i="1" s="1"/>
  <c r="L60" i="38"/>
  <c r="G49" i="39" s="1"/>
  <c r="E10" i="1" s="1"/>
  <c r="L54" i="38"/>
  <c r="G48" i="39" s="1"/>
  <c r="I48" i="39" s="1"/>
  <c r="L70" i="38"/>
  <c r="G59" i="39" s="1"/>
  <c r="L65" i="38"/>
  <c r="G54" i="39" s="1"/>
  <c r="I57" i="39" s="1"/>
  <c r="E25" i="1" s="1"/>
  <c r="L61" i="38"/>
  <c r="G50" i="39" s="1"/>
  <c r="E15" i="1" s="1"/>
  <c r="M96" i="38"/>
  <c r="K151" i="38"/>
  <c r="M78" i="38"/>
  <c r="O78" i="38" s="1"/>
  <c r="H3" i="38" s="1"/>
  <c r="N96" i="38"/>
  <c r="L103" i="38" s="1"/>
  <c r="G98" i="39" s="1"/>
  <c r="M54" i="38"/>
  <c r="O54" i="38" s="1"/>
  <c r="K54" i="38"/>
  <c r="K96" i="38"/>
  <c r="F134" i="39" l="1"/>
  <c r="F143" i="39"/>
  <c r="F132" i="39"/>
  <c r="F135" i="39"/>
  <c r="F145" i="39"/>
  <c r="L204" i="38"/>
  <c r="G202" i="39" s="1"/>
  <c r="E455" i="1" s="1"/>
  <c r="L193" i="38"/>
  <c r="G191" i="39" s="1"/>
  <c r="E233" i="38"/>
  <c r="F82" i="39"/>
  <c r="F92" i="39"/>
  <c r="F118" i="39"/>
  <c r="L168" i="38"/>
  <c r="G166" i="39" s="1"/>
  <c r="I171" i="39" s="1"/>
  <c r="E378" i="1" s="1"/>
  <c r="F72" i="39"/>
  <c r="F83" i="39"/>
  <c r="F85" i="39"/>
  <c r="O168" i="38"/>
  <c r="N2" i="38" s="1"/>
  <c r="F86" i="39"/>
  <c r="F87" i="39"/>
  <c r="F81" i="39"/>
  <c r="F117" i="39"/>
  <c r="L174" i="38"/>
  <c r="G172" i="39" s="1"/>
  <c r="I172" i="39" s="1"/>
  <c r="E182" i="1" s="1"/>
  <c r="F140" i="39"/>
  <c r="F138" i="39"/>
  <c r="F121" i="39"/>
  <c r="F112" i="39"/>
  <c r="F133" i="39"/>
  <c r="F168" i="39"/>
  <c r="F122" i="39"/>
  <c r="L79" i="38"/>
  <c r="G71" i="39" s="1"/>
  <c r="I72" i="39" s="1"/>
  <c r="E124" i="1" s="1"/>
  <c r="F144" i="39"/>
  <c r="F8" i="39"/>
  <c r="F142" i="39"/>
  <c r="F116" i="39"/>
  <c r="F113" i="39"/>
  <c r="F139" i="39"/>
  <c r="F120" i="39"/>
  <c r="F123" i="39"/>
  <c r="F114" i="39"/>
  <c r="F188" i="39"/>
  <c r="I188" i="39" s="1"/>
  <c r="F96" i="39"/>
  <c r="F102" i="39"/>
  <c r="L32" i="38"/>
  <c r="G23" i="39" s="1"/>
  <c r="E497" i="1" s="1"/>
  <c r="O12" i="38"/>
  <c r="N3" i="38" s="1"/>
  <c r="L47" i="38"/>
  <c r="G38" i="39" s="1"/>
  <c r="I42" i="39" s="1"/>
  <c r="E558" i="1" s="1"/>
  <c r="L39" i="38"/>
  <c r="G30" i="39" s="1"/>
  <c r="I34" i="39" s="1"/>
  <c r="E532" i="1" s="1"/>
  <c r="L12" i="38"/>
  <c r="G3" i="39" s="1"/>
  <c r="I6" i="39" s="1"/>
  <c r="E467" i="1" s="1"/>
  <c r="L16" i="38"/>
  <c r="G7" i="39" s="1"/>
  <c r="I11" i="39" s="1"/>
  <c r="E487" i="1" s="1"/>
  <c r="L35" i="38"/>
  <c r="G26" i="39" s="1"/>
  <c r="I27" i="39" s="1"/>
  <c r="E502" i="1" s="1"/>
  <c r="L21" i="38"/>
  <c r="G12" i="39" s="1"/>
  <c r="I19" i="39" s="1"/>
  <c r="F190" i="39"/>
  <c r="I190" i="39" s="1"/>
  <c r="F106" i="39"/>
  <c r="F155" i="39"/>
  <c r="K21" i="38"/>
  <c r="F150" i="39"/>
  <c r="K88" i="38"/>
  <c r="O209" i="38"/>
  <c r="N4" i="38" s="1"/>
  <c r="F77" i="39"/>
  <c r="F183" i="39"/>
  <c r="I183" i="39" s="1"/>
  <c r="F76" i="39"/>
  <c r="F181" i="39"/>
  <c r="I181" i="39" s="1"/>
  <c r="F74" i="39"/>
  <c r="F97" i="39"/>
  <c r="F94" i="39"/>
  <c r="F161" i="39"/>
  <c r="F156" i="39"/>
  <c r="F159" i="39"/>
  <c r="F75" i="39"/>
  <c r="F93" i="39"/>
  <c r="F103" i="39"/>
  <c r="F147" i="39"/>
  <c r="F157" i="39"/>
  <c r="F187" i="39"/>
  <c r="F185" i="39"/>
  <c r="I185" i="39" s="1"/>
  <c r="F78" i="39"/>
  <c r="F186" i="39"/>
  <c r="I186" i="39" s="1"/>
  <c r="F73" i="39"/>
  <c r="F104" i="39"/>
  <c r="F148" i="39"/>
  <c r="F149" i="39"/>
  <c r="F160" i="39"/>
  <c r="F115" i="39"/>
  <c r="F109" i="39"/>
  <c r="F108" i="39"/>
  <c r="F9" i="39"/>
  <c r="F170" i="39"/>
  <c r="F10" i="39"/>
  <c r="E109" i="1"/>
  <c r="E96" i="1"/>
  <c r="L129" i="38"/>
  <c r="G124" i="39" s="1"/>
  <c r="I127" i="39" s="1"/>
  <c r="I182" i="39"/>
  <c r="I8" i="39"/>
  <c r="E472" i="1" s="1"/>
  <c r="I25" i="39"/>
  <c r="I52" i="39"/>
  <c r="G67" i="39"/>
  <c r="H58" i="39" s="1"/>
  <c r="I62" i="39"/>
  <c r="I63" i="39"/>
  <c r="I64" i="39"/>
  <c r="I196" i="39"/>
  <c r="E449" i="1" s="1"/>
  <c r="I49" i="39"/>
  <c r="I56" i="39"/>
  <c r="L175" i="38"/>
  <c r="G173" i="39" s="1"/>
  <c r="I174" i="39" s="1"/>
  <c r="E388" i="1" s="1"/>
  <c r="F158" i="39"/>
  <c r="L207" i="38"/>
  <c r="G205" i="39" s="1"/>
  <c r="I205" i="39" s="1"/>
  <c r="L112" i="38"/>
  <c r="G107" i="39" s="1"/>
  <c r="I109" i="39" s="1"/>
  <c r="E227" i="1" s="1"/>
  <c r="I4" i="39"/>
  <c r="I100" i="39"/>
  <c r="E187" i="1" s="1"/>
  <c r="I61" i="39"/>
  <c r="E73" i="1" s="1"/>
  <c r="I66" i="39"/>
  <c r="I203" i="39"/>
  <c r="I55" i="39"/>
  <c r="F162" i="39"/>
  <c r="L135" i="38"/>
  <c r="G130" i="39" s="1"/>
  <c r="I130" i="39" s="1"/>
  <c r="I189" i="39"/>
  <c r="I51" i="39"/>
  <c r="I53" i="39"/>
  <c r="I65" i="39"/>
  <c r="I184" i="39"/>
  <c r="I187" i="39"/>
  <c r="I99" i="39"/>
  <c r="E192" i="1" s="1"/>
  <c r="I18" i="39"/>
  <c r="I201" i="39"/>
  <c r="I125" i="39"/>
  <c r="I60" i="39"/>
  <c r="E84" i="1" s="1"/>
  <c r="E45" i="1"/>
  <c r="E35" i="1"/>
  <c r="F167" i="39"/>
  <c r="F169" i="39"/>
  <c r="F175" i="39"/>
  <c r="F204" i="39"/>
  <c r="I204" i="39" s="1"/>
  <c r="F194" i="39"/>
  <c r="I194" i="39" s="1"/>
  <c r="E434" i="1" s="1"/>
  <c r="F193" i="39"/>
  <c r="I193" i="39" s="1"/>
  <c r="E429" i="1" s="1"/>
  <c r="F197" i="39"/>
  <c r="I197" i="39" s="1"/>
  <c r="F177" i="39"/>
  <c r="F195" i="39"/>
  <c r="I195" i="39" s="1"/>
  <c r="E439" i="1" s="1"/>
  <c r="F192" i="39"/>
  <c r="I192" i="39" s="1"/>
  <c r="E424" i="1" s="1"/>
  <c r="F179" i="39"/>
  <c r="I179" i="39" s="1"/>
  <c r="F178" i="39"/>
  <c r="F200" i="39"/>
  <c r="I200" i="39" s="1"/>
  <c r="F199" i="39"/>
  <c r="I199" i="39" s="1"/>
  <c r="F176" i="39"/>
  <c r="H2" i="38"/>
  <c r="L116" i="38"/>
  <c r="G111" i="39" s="1"/>
  <c r="L141" i="38"/>
  <c r="G136" i="39" s="1"/>
  <c r="E279" i="1" s="1"/>
  <c r="L88" i="38"/>
  <c r="G80" i="39" s="1"/>
  <c r="O96" i="38"/>
  <c r="H4" i="38" s="1"/>
  <c r="L106" i="38"/>
  <c r="G101" i="39" s="1"/>
  <c r="L96" i="38"/>
  <c r="G91" i="39" s="1"/>
  <c r="L136" i="38"/>
  <c r="G131" i="39" s="1"/>
  <c r="L151" i="38"/>
  <c r="G146" i="39" s="1"/>
  <c r="I154" i="39" s="1"/>
  <c r="I135" i="39" l="1"/>
  <c r="E250" i="1" s="1"/>
  <c r="I28" i="39"/>
  <c r="E507" i="1" s="1"/>
  <c r="I168" i="39"/>
  <c r="I39" i="39"/>
  <c r="E548" i="1" s="1"/>
  <c r="I31" i="39"/>
  <c r="E517" i="1" s="1"/>
  <c r="I169" i="39"/>
  <c r="I110" i="39"/>
  <c r="E217" i="1" s="1"/>
  <c r="I44" i="39"/>
  <c r="E572" i="1" s="1"/>
  <c r="I79" i="39"/>
  <c r="I167" i="39"/>
  <c r="E78" i="1"/>
  <c r="I176" i="39"/>
  <c r="E398" i="1" s="1"/>
  <c r="I77" i="39"/>
  <c r="I170" i="39"/>
  <c r="E383" i="1" s="1"/>
  <c r="U128" i="34" s="1"/>
  <c r="V128" i="34" s="1"/>
  <c r="I73" i="39"/>
  <c r="E114" i="1" s="1"/>
  <c r="E30" i="1"/>
  <c r="I128" i="39"/>
  <c r="I10" i="39"/>
  <c r="E482" i="1" s="1"/>
  <c r="I75" i="39"/>
  <c r="E129" i="1" s="1"/>
  <c r="I76" i="39"/>
  <c r="E134" i="1" s="1"/>
  <c r="H49" i="39"/>
  <c r="I123" i="39"/>
  <c r="E63" i="1" s="1"/>
  <c r="I36" i="39"/>
  <c r="E542" i="1" s="1"/>
  <c r="I78" i="39"/>
  <c r="E139" i="1" s="1"/>
  <c r="I9" i="39"/>
  <c r="E477" i="1" s="1"/>
  <c r="I74" i="39"/>
  <c r="E119" i="1" s="1"/>
  <c r="I108" i="39"/>
  <c r="E222" i="1" s="1"/>
  <c r="E270" i="1"/>
  <c r="I24" i="39"/>
  <c r="I103" i="39"/>
  <c r="I15" i="39"/>
  <c r="I20" i="39"/>
  <c r="I5" i="39"/>
  <c r="E462" i="1" s="1"/>
  <c r="I178" i="39"/>
  <c r="E413" i="1" s="1"/>
  <c r="I33" i="39"/>
  <c r="E527" i="1" s="1"/>
  <c r="E149" i="1"/>
  <c r="I32" i="39"/>
  <c r="E522" i="1" s="1"/>
  <c r="I40" i="39"/>
  <c r="E563" i="1" s="1"/>
  <c r="I129" i="39"/>
  <c r="E244" i="1" s="1"/>
  <c r="I29" i="39"/>
  <c r="E512" i="1" s="1"/>
  <c r="I16" i="39"/>
  <c r="I17" i="39"/>
  <c r="I41" i="39"/>
  <c r="E553" i="1" s="1"/>
  <c r="I126" i="39"/>
  <c r="E265" i="1" s="1"/>
  <c r="E144" i="1"/>
  <c r="G206" i="39"/>
  <c r="H166" i="39" s="1"/>
  <c r="I43" i="39"/>
  <c r="E569" i="1" s="1"/>
  <c r="I37" i="39"/>
  <c r="I21" i="39"/>
  <c r="I35" i="39"/>
  <c r="E537" i="1" s="1"/>
  <c r="I14" i="39"/>
  <c r="I13" i="39"/>
  <c r="I22" i="39"/>
  <c r="G45" i="39"/>
  <c r="H38" i="39" s="1"/>
  <c r="E444" i="1"/>
  <c r="I67" i="39"/>
  <c r="H172" i="39"/>
  <c r="E20" i="1"/>
  <c r="I175" i="39"/>
  <c r="E393" i="1" s="1"/>
  <c r="H48" i="39"/>
  <c r="Q12" i="38"/>
  <c r="O4" i="38" s="1"/>
  <c r="H54" i="39"/>
  <c r="H50" i="39"/>
  <c r="I177" i="39"/>
  <c r="E418" i="1" s="1"/>
  <c r="E351" i="1"/>
  <c r="E346" i="1"/>
  <c r="I159" i="39"/>
  <c r="I120" i="39"/>
  <c r="E58" i="1" s="1"/>
  <c r="I86" i="39"/>
  <c r="I81" i="39"/>
  <c r="I115" i="39"/>
  <c r="I104" i="39"/>
  <c r="E212" i="1" s="1"/>
  <c r="I116" i="39"/>
  <c r="I162" i="39"/>
  <c r="E326" i="1" s="1"/>
  <c r="I102" i="39"/>
  <c r="I145" i="39"/>
  <c r="I112" i="39"/>
  <c r="I157" i="39"/>
  <c r="E361" i="1" s="1"/>
  <c r="I152" i="39"/>
  <c r="E336" i="1" s="1"/>
  <c r="I114" i="39"/>
  <c r="I143" i="39"/>
  <c r="E289" i="1" s="1"/>
  <c r="H59" i="39"/>
  <c r="G163" i="39"/>
  <c r="H131" i="39" s="1"/>
  <c r="I156" i="39"/>
  <c r="I137" i="39"/>
  <c r="I85" i="39"/>
  <c r="E492" i="1" s="1"/>
  <c r="I150" i="39"/>
  <c r="I155" i="39"/>
  <c r="E367" i="1" s="1"/>
  <c r="I106" i="39"/>
  <c r="E202" i="1" s="1"/>
  <c r="I122" i="39"/>
  <c r="I133" i="39"/>
  <c r="I138" i="39"/>
  <c r="E285" i="1" s="1"/>
  <c r="I161" i="39"/>
  <c r="E356" i="1" s="1"/>
  <c r="I118" i="39"/>
  <c r="I83" i="39"/>
  <c r="I121" i="39"/>
  <c r="I140" i="39"/>
  <c r="I84" i="39"/>
  <c r="E159" i="1" s="1"/>
  <c r="I153" i="39"/>
  <c r="E311" i="1" s="1"/>
  <c r="I148" i="39"/>
  <c r="I139" i="39"/>
  <c r="I142" i="39"/>
  <c r="E294" i="1" s="1"/>
  <c r="I105" i="39"/>
  <c r="E207" i="1" s="1"/>
  <c r="I147" i="39"/>
  <c r="E300" i="1" s="1"/>
  <c r="I94" i="39"/>
  <c r="I113" i="39"/>
  <c r="G88" i="39"/>
  <c r="H80" i="39" s="1"/>
  <c r="I87" i="39"/>
  <c r="I93" i="39"/>
  <c r="I134" i="39"/>
  <c r="I144" i="39"/>
  <c r="I158" i="39"/>
  <c r="E371" i="1" s="1"/>
  <c r="I160" i="39"/>
  <c r="E341" i="1" s="1"/>
  <c r="I97" i="39"/>
  <c r="I96" i="39"/>
  <c r="I95" i="39"/>
  <c r="I119" i="39"/>
  <c r="I117" i="39"/>
  <c r="I132" i="39"/>
  <c r="E260" i="1" s="1"/>
  <c r="I149" i="39"/>
  <c r="I82" i="39"/>
  <c r="E234" i="1"/>
  <c r="I151" i="39"/>
  <c r="E331" i="1" s="1"/>
  <c r="I141" i="39"/>
  <c r="I92" i="39"/>
  <c r="E403" i="1"/>
  <c r="E408" i="1"/>
  <c r="O128" i="33" l="1"/>
  <c r="P128" i="33" s="1"/>
  <c r="F383" i="1"/>
  <c r="G383" i="1" s="1"/>
  <c r="H205" i="39"/>
  <c r="H101" i="39"/>
  <c r="H180" i="39"/>
  <c r="H191" i="39"/>
  <c r="H202" i="39"/>
  <c r="H198" i="39"/>
  <c r="H173" i="39"/>
  <c r="H146" i="39"/>
  <c r="I206" i="39"/>
  <c r="E154" i="1"/>
  <c r="E377" i="1"/>
  <c r="E239" i="1"/>
  <c r="E177" i="1"/>
  <c r="H67" i="39"/>
  <c r="E197" i="1"/>
  <c r="E461" i="1"/>
  <c r="G572" i="1" s="1"/>
  <c r="F572" i="1" s="1"/>
  <c r="H7" i="39"/>
  <c r="H3" i="39"/>
  <c r="H30" i="39"/>
  <c r="H23" i="39"/>
  <c r="H26" i="39"/>
  <c r="H12" i="39"/>
  <c r="H136" i="39"/>
  <c r="E172" i="1"/>
  <c r="H206" i="39"/>
  <c r="E306" i="1"/>
  <c r="E3" i="1"/>
  <c r="E167" i="1"/>
  <c r="I163" i="39"/>
  <c r="H111" i="39"/>
  <c r="E91" i="1"/>
  <c r="I88" i="39"/>
  <c r="H71" i="39"/>
  <c r="H70" i="39"/>
  <c r="E255" i="1"/>
  <c r="E316" i="1"/>
  <c r="S383" i="1" s="1"/>
  <c r="T383" i="1" s="1"/>
  <c r="E321" i="1"/>
  <c r="H98" i="39"/>
  <c r="H130" i="39"/>
  <c r="H107" i="39"/>
  <c r="H124" i="39"/>
  <c r="H91" i="39"/>
  <c r="I45" i="39"/>
  <c r="G51" i="1" l="1"/>
  <c r="F51" i="1" s="1"/>
  <c r="G40" i="1"/>
  <c r="F40" i="1" s="1"/>
  <c r="G393" i="1"/>
  <c r="F393" i="1" s="1"/>
  <c r="U386" i="1"/>
  <c r="U385" i="1"/>
  <c r="U384" i="1"/>
  <c r="G378" i="1"/>
  <c r="F378" i="1" s="1"/>
  <c r="G388" i="1"/>
  <c r="F388" i="1" s="1"/>
  <c r="G455" i="1"/>
  <c r="F455" i="1" s="1"/>
  <c r="G439" i="1"/>
  <c r="F439" i="1" s="1"/>
  <c r="G429" i="1"/>
  <c r="F429" i="1" s="1"/>
  <c r="G408" i="1"/>
  <c r="F408" i="1" s="1"/>
  <c r="G434" i="1"/>
  <c r="F434" i="1" s="1"/>
  <c r="G418" i="1"/>
  <c r="F418" i="1" s="1"/>
  <c r="G449" i="1"/>
  <c r="F449" i="1" s="1"/>
  <c r="G413" i="1"/>
  <c r="F413" i="1" s="1"/>
  <c r="G403" i="1"/>
  <c r="F403" i="1" s="1"/>
  <c r="G444" i="1"/>
  <c r="F444" i="1" s="1"/>
  <c r="G424" i="1"/>
  <c r="F424" i="1" s="1"/>
  <c r="G398" i="1"/>
  <c r="F398" i="1" s="1"/>
  <c r="G482" i="1"/>
  <c r="F482" i="1" s="1"/>
  <c r="G522" i="1"/>
  <c r="F522" i="1" s="1"/>
  <c r="G553" i="1"/>
  <c r="F553" i="1" s="1"/>
  <c r="G497" i="1"/>
  <c r="F497" i="1" s="1"/>
  <c r="G467" i="1"/>
  <c r="F467" i="1" s="1"/>
  <c r="G472" i="1"/>
  <c r="F472" i="1" s="1"/>
  <c r="G512" i="1"/>
  <c r="F512" i="1" s="1"/>
  <c r="G502" i="1"/>
  <c r="F502" i="1" s="1"/>
  <c r="G507" i="1"/>
  <c r="F507" i="1" s="1"/>
  <c r="G492" i="1"/>
  <c r="F492" i="1" s="1"/>
  <c r="G532" i="1"/>
  <c r="F532" i="1" s="1"/>
  <c r="H45" i="39"/>
  <c r="G58" i="1"/>
  <c r="F58" i="1" s="1"/>
  <c r="G462" i="1"/>
  <c r="F462" i="1" s="1"/>
  <c r="G20" i="1"/>
  <c r="F20" i="1" s="1"/>
  <c r="G78" i="1"/>
  <c r="F78" i="1" s="1"/>
  <c r="G558" i="1"/>
  <c r="F558" i="1" s="1"/>
  <c r="G477" i="1"/>
  <c r="F477" i="1" s="1"/>
  <c r="G548" i="1"/>
  <c r="F548" i="1" s="1"/>
  <c r="G527" i="1"/>
  <c r="F527" i="1" s="1"/>
  <c r="G487" i="1"/>
  <c r="F487" i="1" s="1"/>
  <c r="G563" i="1"/>
  <c r="F563" i="1" s="1"/>
  <c r="G542" i="1"/>
  <c r="F542" i="1" s="1"/>
  <c r="G517" i="1"/>
  <c r="F517" i="1" s="1"/>
  <c r="G537" i="1"/>
  <c r="F537" i="1" s="1"/>
  <c r="G114" i="1"/>
  <c r="F114" i="1" s="1"/>
  <c r="G149" i="1"/>
  <c r="F149" i="1" s="1"/>
  <c r="G91" i="1"/>
  <c r="F91" i="1" s="1"/>
  <c r="E90" i="1"/>
  <c r="G109" i="1"/>
  <c r="F109" i="1" s="1"/>
  <c r="G129" i="1"/>
  <c r="F129" i="1" s="1"/>
  <c r="G119" i="1"/>
  <c r="F119" i="1" s="1"/>
  <c r="G159" i="1"/>
  <c r="F159" i="1" s="1"/>
  <c r="G139" i="1"/>
  <c r="F139" i="1" s="1"/>
  <c r="G124" i="1"/>
  <c r="F124" i="1" s="1"/>
  <c r="G134" i="1"/>
  <c r="F134" i="1" s="1"/>
  <c r="G144" i="1"/>
  <c r="F144" i="1" s="1"/>
  <c r="G154" i="1"/>
  <c r="F154" i="1" s="1"/>
  <c r="E166" i="1"/>
  <c r="H163" i="39"/>
  <c r="H88" i="39"/>
  <c r="G25" i="1"/>
  <c r="F25" i="1" s="1"/>
  <c r="G4" i="1"/>
  <c r="F4" i="1" s="1"/>
  <c r="G63" i="1"/>
  <c r="F63" i="1" s="1"/>
  <c r="G45" i="1"/>
  <c r="F45" i="1" s="1"/>
  <c r="G73" i="1"/>
  <c r="F73" i="1" s="1"/>
  <c r="G10" i="1"/>
  <c r="F10" i="1" s="1"/>
  <c r="G15" i="1"/>
  <c r="F15" i="1" s="1"/>
  <c r="G84" i="1"/>
  <c r="F84" i="1" s="1"/>
  <c r="G30" i="1"/>
  <c r="F30" i="1" s="1"/>
  <c r="G35" i="1"/>
  <c r="F35" i="1" s="1"/>
  <c r="G68" i="1"/>
  <c r="F68" i="1" s="1"/>
  <c r="B171" i="30"/>
  <c r="B170" i="30"/>
  <c r="B169" i="30"/>
  <c r="B168" i="30"/>
  <c r="B167" i="30"/>
  <c r="B164" i="30"/>
  <c r="B163" i="30"/>
  <c r="B162" i="30"/>
  <c r="B161" i="30"/>
  <c r="B160" i="30"/>
  <c r="B159" i="30"/>
  <c r="B156" i="30"/>
  <c r="B155" i="30"/>
  <c r="B154" i="30"/>
  <c r="B151" i="30"/>
  <c r="B148" i="30"/>
  <c r="B145" i="30"/>
  <c r="B144" i="30"/>
  <c r="B143" i="30"/>
  <c r="B142" i="30"/>
  <c r="B141" i="30"/>
  <c r="B138" i="30"/>
  <c r="B136" i="30"/>
  <c r="B133" i="30"/>
  <c r="B131" i="30"/>
  <c r="B130" i="30"/>
  <c r="B129" i="30"/>
  <c r="B128" i="30"/>
  <c r="B127" i="30"/>
  <c r="B126" i="30"/>
  <c r="B123" i="30"/>
  <c r="B122" i="30"/>
  <c r="B121" i="30"/>
  <c r="B120" i="30"/>
  <c r="B119" i="30"/>
  <c r="B118" i="30"/>
  <c r="B117" i="30"/>
  <c r="B113" i="30"/>
  <c r="B111" i="30"/>
  <c r="B108" i="30"/>
  <c r="B107" i="30"/>
  <c r="B106" i="30"/>
  <c r="B105" i="30"/>
  <c r="B104" i="30"/>
  <c r="B103" i="30"/>
  <c r="B102" i="30"/>
  <c r="B101" i="30"/>
  <c r="B100" i="30"/>
  <c r="B99" i="30"/>
  <c r="B98" i="30"/>
  <c r="B97" i="30"/>
  <c r="B96" i="30"/>
  <c r="B95" i="30"/>
  <c r="B94" i="30"/>
  <c r="B91" i="30"/>
  <c r="B90" i="30"/>
  <c r="B87" i="30"/>
  <c r="B86" i="30"/>
  <c r="B83" i="30"/>
  <c r="B82" i="30"/>
  <c r="B81" i="30"/>
  <c r="B78" i="30"/>
  <c r="B77" i="30"/>
  <c r="B74" i="30"/>
  <c r="B73" i="30"/>
  <c r="B70" i="30"/>
  <c r="B69" i="30"/>
  <c r="B68" i="30"/>
  <c r="B65" i="30"/>
  <c r="B64" i="30"/>
  <c r="B63" i="30"/>
  <c r="B62" i="30"/>
  <c r="B61" i="30"/>
  <c r="B60" i="30"/>
  <c r="B59" i="30"/>
  <c r="B58" i="30"/>
  <c r="B57" i="30"/>
  <c r="B56" i="30"/>
  <c r="B51" i="30"/>
  <c r="B50" i="30"/>
  <c r="B47" i="30"/>
  <c r="B46" i="30"/>
  <c r="B45" i="30"/>
  <c r="B44" i="30"/>
  <c r="B43" i="30"/>
  <c r="B42" i="30"/>
  <c r="B41" i="30"/>
  <c r="B40" i="30"/>
  <c r="B39" i="30"/>
  <c r="B37" i="30"/>
  <c r="B36" i="30"/>
  <c r="B31" i="30"/>
  <c r="B30" i="30"/>
  <c r="B27" i="30"/>
  <c r="B24" i="30"/>
  <c r="B23" i="30"/>
  <c r="B22" i="30"/>
  <c r="B21" i="30"/>
  <c r="B18" i="30"/>
  <c r="B17" i="30"/>
  <c r="B16" i="30"/>
  <c r="B13" i="30"/>
  <c r="B12" i="30"/>
  <c r="B9" i="30"/>
  <c r="B8" i="30"/>
  <c r="B7" i="30"/>
  <c r="B6" i="30"/>
  <c r="B171" i="29"/>
  <c r="B170" i="29"/>
  <c r="B169" i="29"/>
  <c r="B168" i="29"/>
  <c r="B167" i="29"/>
  <c r="B164" i="29"/>
  <c r="B163" i="29"/>
  <c r="B162" i="29"/>
  <c r="B161" i="29"/>
  <c r="B160" i="29"/>
  <c r="B159" i="29"/>
  <c r="B156" i="29"/>
  <c r="B155" i="29"/>
  <c r="B154" i="29"/>
  <c r="B151" i="29"/>
  <c r="B148" i="29"/>
  <c r="B145" i="29"/>
  <c r="B144" i="29"/>
  <c r="B143" i="29"/>
  <c r="B142" i="29"/>
  <c r="B141" i="29"/>
  <c r="B138" i="29"/>
  <c r="B136" i="29"/>
  <c r="B133" i="29"/>
  <c r="B131" i="29"/>
  <c r="B130" i="29"/>
  <c r="B129" i="29"/>
  <c r="B128" i="29"/>
  <c r="B127" i="29"/>
  <c r="B126" i="29"/>
  <c r="B123" i="29"/>
  <c r="B122" i="29"/>
  <c r="B121" i="29"/>
  <c r="B120" i="29"/>
  <c r="B119" i="29"/>
  <c r="B118" i="29"/>
  <c r="B117" i="29"/>
  <c r="B113" i="29"/>
  <c r="B111" i="29"/>
  <c r="B108" i="29"/>
  <c r="B107" i="29"/>
  <c r="B106" i="29"/>
  <c r="B105" i="29"/>
  <c r="B104" i="29"/>
  <c r="B103" i="29"/>
  <c r="B102" i="29"/>
  <c r="B101" i="29"/>
  <c r="B100" i="29"/>
  <c r="B99" i="29"/>
  <c r="B98" i="29"/>
  <c r="B97" i="29"/>
  <c r="B96" i="29"/>
  <c r="B95" i="29"/>
  <c r="B94" i="29"/>
  <c r="B91" i="29"/>
  <c r="B90" i="29"/>
  <c r="B87" i="29"/>
  <c r="B86" i="29"/>
  <c r="B83" i="29"/>
  <c r="B82" i="29"/>
  <c r="B81" i="29"/>
  <c r="B78" i="29"/>
  <c r="B77" i="29"/>
  <c r="B74" i="29"/>
  <c r="B73" i="29"/>
  <c r="B70" i="29"/>
  <c r="B69" i="29"/>
  <c r="B68" i="29"/>
  <c r="B65" i="29"/>
  <c r="B64" i="29"/>
  <c r="B63" i="29"/>
  <c r="B62" i="29"/>
  <c r="B61" i="29"/>
  <c r="B60" i="29"/>
  <c r="B59" i="29"/>
  <c r="B58" i="29"/>
  <c r="B57" i="29"/>
  <c r="B56" i="29"/>
  <c r="B51" i="29"/>
  <c r="B50" i="29"/>
  <c r="B47" i="29"/>
  <c r="B46" i="29"/>
  <c r="B45" i="29"/>
  <c r="B44" i="29"/>
  <c r="B43" i="29"/>
  <c r="B42" i="29"/>
  <c r="B41" i="29"/>
  <c r="B40" i="29"/>
  <c r="B39" i="29"/>
  <c r="B37" i="29"/>
  <c r="B36" i="29"/>
  <c r="B31" i="29"/>
  <c r="B30" i="29"/>
  <c r="B27" i="29"/>
  <c r="B24" i="29"/>
  <c r="B23" i="29"/>
  <c r="B22" i="29"/>
  <c r="B21" i="29"/>
  <c r="B18" i="29"/>
  <c r="B17" i="29"/>
  <c r="B16" i="29"/>
  <c r="B13" i="29"/>
  <c r="B12" i="29"/>
  <c r="B9" i="29"/>
  <c r="B8" i="29"/>
  <c r="B7" i="29"/>
  <c r="B6" i="29"/>
  <c r="B171" i="28"/>
  <c r="B170" i="28"/>
  <c r="B169" i="28"/>
  <c r="B168" i="28"/>
  <c r="B167" i="28"/>
  <c r="B164" i="28"/>
  <c r="B163" i="28"/>
  <c r="B162" i="28"/>
  <c r="B161" i="28"/>
  <c r="B160" i="28"/>
  <c r="B159" i="28"/>
  <c r="B156" i="28"/>
  <c r="B155" i="28"/>
  <c r="B154" i="28"/>
  <c r="B151" i="28"/>
  <c r="B148" i="28"/>
  <c r="B145" i="28"/>
  <c r="B144" i="28"/>
  <c r="B143" i="28"/>
  <c r="B142" i="28"/>
  <c r="B141" i="28"/>
  <c r="B138" i="28"/>
  <c r="B136" i="28"/>
  <c r="B133" i="28"/>
  <c r="B131" i="28"/>
  <c r="B130" i="28"/>
  <c r="B129" i="28"/>
  <c r="B128" i="28"/>
  <c r="B127" i="28"/>
  <c r="B126" i="28"/>
  <c r="B123" i="28"/>
  <c r="B122" i="28"/>
  <c r="B121" i="28"/>
  <c r="B120" i="28"/>
  <c r="B119" i="28"/>
  <c r="B118" i="28"/>
  <c r="B117" i="28"/>
  <c r="B113" i="28"/>
  <c r="B111" i="28"/>
  <c r="B108" i="28"/>
  <c r="B107" i="28"/>
  <c r="B106" i="28"/>
  <c r="B105" i="28"/>
  <c r="B104" i="28"/>
  <c r="B103" i="28"/>
  <c r="B102" i="28"/>
  <c r="B101" i="28"/>
  <c r="B100" i="28"/>
  <c r="B99" i="28"/>
  <c r="B98" i="28"/>
  <c r="B97" i="28"/>
  <c r="B96" i="28"/>
  <c r="B95" i="28"/>
  <c r="B94" i="28"/>
  <c r="B91" i="28"/>
  <c r="B90" i="28"/>
  <c r="B87" i="28"/>
  <c r="B86" i="28"/>
  <c r="B83" i="28"/>
  <c r="B82" i="28"/>
  <c r="B81" i="28"/>
  <c r="B78" i="28"/>
  <c r="B77" i="28"/>
  <c r="B74" i="28"/>
  <c r="B73" i="28"/>
  <c r="B70" i="28"/>
  <c r="B69" i="28"/>
  <c r="B68" i="28"/>
  <c r="B65" i="28"/>
  <c r="B64" i="28"/>
  <c r="B63" i="28"/>
  <c r="B62" i="28"/>
  <c r="B61" i="28"/>
  <c r="B60" i="28"/>
  <c r="B59" i="28"/>
  <c r="B58" i="28"/>
  <c r="B57" i="28"/>
  <c r="B56" i="28"/>
  <c r="B51" i="28"/>
  <c r="B50" i="28"/>
  <c r="B47" i="28"/>
  <c r="B46" i="28"/>
  <c r="B45" i="28"/>
  <c r="B44" i="28"/>
  <c r="B43" i="28"/>
  <c r="B42" i="28"/>
  <c r="B41" i="28"/>
  <c r="B40" i="28"/>
  <c r="B39" i="28"/>
  <c r="B37" i="28"/>
  <c r="B36" i="28"/>
  <c r="B31" i="28"/>
  <c r="B30" i="28"/>
  <c r="B27" i="28"/>
  <c r="B24" i="28"/>
  <c r="B23" i="28"/>
  <c r="B22" i="28"/>
  <c r="B21" i="28"/>
  <c r="B18" i="28"/>
  <c r="B17" i="28"/>
  <c r="B16" i="28"/>
  <c r="B13" i="28"/>
  <c r="B12" i="28"/>
  <c r="B9" i="28"/>
  <c r="B8" i="28"/>
  <c r="B7" i="28"/>
  <c r="B6" i="28"/>
  <c r="B171" i="27"/>
  <c r="B170" i="27"/>
  <c r="B169" i="27"/>
  <c r="B168" i="27"/>
  <c r="B167" i="27"/>
  <c r="B164" i="27"/>
  <c r="B163" i="27"/>
  <c r="B162" i="27"/>
  <c r="B161" i="27"/>
  <c r="B160" i="27"/>
  <c r="B159" i="27"/>
  <c r="B156" i="27"/>
  <c r="B155" i="27"/>
  <c r="B154" i="27"/>
  <c r="B151" i="27"/>
  <c r="B148" i="27"/>
  <c r="B145" i="27"/>
  <c r="B144" i="27"/>
  <c r="B143" i="27"/>
  <c r="B142" i="27"/>
  <c r="B141" i="27"/>
  <c r="B138" i="27"/>
  <c r="B136" i="27"/>
  <c r="B133" i="27"/>
  <c r="B131" i="27"/>
  <c r="B130" i="27"/>
  <c r="B129" i="27"/>
  <c r="B128" i="27"/>
  <c r="B127" i="27"/>
  <c r="B126" i="27"/>
  <c r="B123" i="27"/>
  <c r="B122" i="27"/>
  <c r="B121" i="27"/>
  <c r="B120" i="27"/>
  <c r="B119" i="27"/>
  <c r="B118" i="27"/>
  <c r="B117" i="27"/>
  <c r="B111" i="27"/>
  <c r="B108" i="27"/>
  <c r="B107" i="27"/>
  <c r="B106" i="27"/>
  <c r="B105" i="27"/>
  <c r="B104" i="27"/>
  <c r="B103" i="27"/>
  <c r="B102" i="27"/>
  <c r="B101" i="27"/>
  <c r="B100" i="27"/>
  <c r="B99" i="27"/>
  <c r="B98" i="27"/>
  <c r="B97" i="27"/>
  <c r="B96" i="27"/>
  <c r="B95" i="27"/>
  <c r="B94" i="27"/>
  <c r="B91" i="27"/>
  <c r="B90" i="27"/>
  <c r="B87" i="27"/>
  <c r="B86" i="27"/>
  <c r="B83" i="27"/>
  <c r="B82" i="27"/>
  <c r="B81" i="27"/>
  <c r="B78" i="27"/>
  <c r="B77" i="27"/>
  <c r="B74" i="27"/>
  <c r="B73" i="27"/>
  <c r="B70" i="27"/>
  <c r="B69" i="27"/>
  <c r="B68" i="27"/>
  <c r="B65" i="27"/>
  <c r="B64" i="27"/>
  <c r="B63" i="27"/>
  <c r="B62" i="27"/>
  <c r="B61" i="27"/>
  <c r="B60" i="27"/>
  <c r="B59" i="27"/>
  <c r="B58" i="27"/>
  <c r="B57" i="27"/>
  <c r="B56" i="27"/>
  <c r="B51" i="27"/>
  <c r="B50" i="27"/>
  <c r="B47" i="27"/>
  <c r="B46" i="27"/>
  <c r="B45" i="27"/>
  <c r="B44" i="27"/>
  <c r="B43" i="27"/>
  <c r="B42" i="27"/>
  <c r="B41" i="27"/>
  <c r="B40" i="27"/>
  <c r="B39" i="27"/>
  <c r="B37" i="27"/>
  <c r="B36" i="27"/>
  <c r="B31" i="27"/>
  <c r="B30" i="27"/>
  <c r="B27" i="27"/>
  <c r="B24" i="27"/>
  <c r="B23" i="27"/>
  <c r="B22" i="27"/>
  <c r="B21" i="27"/>
  <c r="B18" i="27"/>
  <c r="B17" i="27"/>
  <c r="B16" i="27"/>
  <c r="B13" i="27"/>
  <c r="B12" i="27"/>
  <c r="B9" i="27"/>
  <c r="B8" i="27"/>
  <c r="B7" i="27"/>
  <c r="B6" i="27"/>
  <c r="B171" i="15"/>
  <c r="B170" i="15"/>
  <c r="B169" i="15"/>
  <c r="B168" i="15"/>
  <c r="B167" i="15"/>
  <c r="B164" i="15"/>
  <c r="B163" i="15"/>
  <c r="B162" i="15"/>
  <c r="B161" i="15"/>
  <c r="B160" i="15"/>
  <c r="B159" i="15"/>
  <c r="B156" i="15"/>
  <c r="B155" i="15"/>
  <c r="B154" i="15"/>
  <c r="B151" i="15"/>
  <c r="B148" i="15"/>
  <c r="B145" i="15"/>
  <c r="B144" i="15"/>
  <c r="B143" i="15"/>
  <c r="B142" i="15"/>
  <c r="B141" i="15"/>
  <c r="B138" i="15"/>
  <c r="B136" i="15"/>
  <c r="B133" i="15"/>
  <c r="B131" i="15"/>
  <c r="B130" i="15"/>
  <c r="B129" i="15"/>
  <c r="B128" i="15"/>
  <c r="B127" i="15"/>
  <c r="B126" i="15"/>
  <c r="B123" i="15"/>
  <c r="B122" i="15"/>
  <c r="B121" i="15"/>
  <c r="B120" i="15"/>
  <c r="B119" i="15"/>
  <c r="B118" i="15"/>
  <c r="B117" i="15"/>
  <c r="B113" i="15"/>
  <c r="B111" i="15"/>
  <c r="B108" i="15"/>
  <c r="B107" i="15"/>
  <c r="B106" i="15"/>
  <c r="B105" i="15"/>
  <c r="B104" i="15"/>
  <c r="B103" i="15"/>
  <c r="B102" i="15"/>
  <c r="B101" i="15"/>
  <c r="B100" i="15"/>
  <c r="B99" i="15"/>
  <c r="B98" i="15"/>
  <c r="B97" i="15"/>
  <c r="B96" i="15"/>
  <c r="B95" i="15"/>
  <c r="B94" i="15"/>
  <c r="B91" i="15"/>
  <c r="B90" i="15"/>
  <c r="B87" i="15"/>
  <c r="B86" i="15"/>
  <c r="B83" i="15"/>
  <c r="B82" i="15"/>
  <c r="B81" i="15"/>
  <c r="B78" i="15"/>
  <c r="B77" i="15"/>
  <c r="B74" i="15"/>
  <c r="B73" i="15"/>
  <c r="B70" i="15"/>
  <c r="B69" i="15"/>
  <c r="B68" i="15"/>
  <c r="B65" i="15"/>
  <c r="B64" i="15"/>
  <c r="B63" i="15"/>
  <c r="B62" i="15"/>
  <c r="B61" i="15"/>
  <c r="B60" i="15"/>
  <c r="B59" i="15"/>
  <c r="B58" i="15"/>
  <c r="B57" i="15"/>
  <c r="B56" i="15"/>
  <c r="B51" i="15"/>
  <c r="B50" i="15"/>
  <c r="B47" i="15"/>
  <c r="B46" i="15"/>
  <c r="B45" i="15"/>
  <c r="B44" i="15"/>
  <c r="B43" i="15"/>
  <c r="B42" i="15"/>
  <c r="B41" i="15"/>
  <c r="B40" i="15"/>
  <c r="B39" i="15"/>
  <c r="B37" i="15"/>
  <c r="B36" i="15"/>
  <c r="B31" i="15"/>
  <c r="B30" i="15"/>
  <c r="B27" i="15"/>
  <c r="B24" i="15"/>
  <c r="B23" i="15"/>
  <c r="B22" i="15"/>
  <c r="B21" i="15"/>
  <c r="B18" i="15"/>
  <c r="B17" i="15"/>
  <c r="B16" i="15"/>
  <c r="B13" i="15"/>
  <c r="B12" i="15"/>
  <c r="B9" i="15"/>
  <c r="B8" i="15"/>
  <c r="B7" i="15"/>
  <c r="B6" i="15"/>
  <c r="B171" i="16"/>
  <c r="B170" i="16"/>
  <c r="B169" i="16"/>
  <c r="B168" i="16"/>
  <c r="B167" i="16"/>
  <c r="B164" i="16"/>
  <c r="B163" i="16"/>
  <c r="B162" i="16"/>
  <c r="B161" i="16"/>
  <c r="B160" i="16"/>
  <c r="B159" i="16"/>
  <c r="B156" i="16"/>
  <c r="B155" i="16"/>
  <c r="B154" i="16"/>
  <c r="B151" i="16"/>
  <c r="B148" i="16"/>
  <c r="B145" i="16"/>
  <c r="B144" i="16"/>
  <c r="B143" i="16"/>
  <c r="B142" i="16"/>
  <c r="B141" i="16"/>
  <c r="B138" i="16"/>
  <c r="B136" i="16"/>
  <c r="B133" i="16"/>
  <c r="B131" i="16"/>
  <c r="B130" i="16"/>
  <c r="B129" i="16"/>
  <c r="B128" i="16"/>
  <c r="B127" i="16"/>
  <c r="B126" i="16"/>
  <c r="B123" i="16"/>
  <c r="B122" i="16"/>
  <c r="B121" i="16"/>
  <c r="B120" i="16"/>
  <c r="B119" i="16"/>
  <c r="B118" i="16"/>
  <c r="B117" i="16"/>
  <c r="B113" i="16"/>
  <c r="B111" i="16"/>
  <c r="B108" i="16"/>
  <c r="B107" i="16"/>
  <c r="B106" i="16"/>
  <c r="B105" i="16"/>
  <c r="B104" i="16"/>
  <c r="B103" i="16"/>
  <c r="B102" i="16"/>
  <c r="B101" i="16"/>
  <c r="B100" i="16"/>
  <c r="B99" i="16"/>
  <c r="B98" i="16"/>
  <c r="B97" i="16"/>
  <c r="B96" i="16"/>
  <c r="B95" i="16"/>
  <c r="B94" i="16"/>
  <c r="B91" i="16"/>
  <c r="B90" i="16"/>
  <c r="B87" i="16"/>
  <c r="B86" i="16"/>
  <c r="B83" i="16"/>
  <c r="B82" i="16"/>
  <c r="B81" i="16"/>
  <c r="B78" i="16"/>
  <c r="B77" i="16"/>
  <c r="B74" i="16"/>
  <c r="B73" i="16"/>
  <c r="B70" i="16"/>
  <c r="B69" i="16"/>
  <c r="B68" i="16"/>
  <c r="B65" i="16"/>
  <c r="B64" i="16"/>
  <c r="B63" i="16"/>
  <c r="B62" i="16"/>
  <c r="B61" i="16"/>
  <c r="B60" i="16"/>
  <c r="B59" i="16"/>
  <c r="B58" i="16"/>
  <c r="B57" i="16"/>
  <c r="B56" i="16"/>
  <c r="B51" i="16"/>
  <c r="B50" i="16"/>
  <c r="B47" i="16"/>
  <c r="B46" i="16"/>
  <c r="B45" i="16"/>
  <c r="B44" i="16"/>
  <c r="B43" i="16"/>
  <c r="B42" i="16"/>
  <c r="B41" i="16"/>
  <c r="B40" i="16"/>
  <c r="B39" i="16"/>
  <c r="B37" i="16"/>
  <c r="B36" i="16"/>
  <c r="B31" i="16"/>
  <c r="B30" i="16"/>
  <c r="B27" i="16"/>
  <c r="B24" i="16"/>
  <c r="B23" i="16"/>
  <c r="B22" i="16"/>
  <c r="B21" i="16"/>
  <c r="B18" i="16"/>
  <c r="B17" i="16"/>
  <c r="B16" i="16"/>
  <c r="B13" i="16"/>
  <c r="B12" i="16"/>
  <c r="B9" i="16"/>
  <c r="B8" i="16"/>
  <c r="B7" i="16"/>
  <c r="B6" i="16"/>
  <c r="B172" i="17"/>
  <c r="B171" i="17"/>
  <c r="B170" i="17"/>
  <c r="B169" i="17"/>
  <c r="B168" i="17"/>
  <c r="B165" i="17"/>
  <c r="B164" i="17"/>
  <c r="B163" i="17"/>
  <c r="B162" i="17"/>
  <c r="B161" i="17"/>
  <c r="B160" i="17"/>
  <c r="B157" i="17"/>
  <c r="B156" i="17"/>
  <c r="B155" i="17"/>
  <c r="B152" i="17"/>
  <c r="B149" i="17"/>
  <c r="B146" i="17"/>
  <c r="B145" i="17"/>
  <c r="B144" i="17"/>
  <c r="B143" i="17"/>
  <c r="B142" i="17"/>
  <c r="B139" i="17"/>
  <c r="B134" i="17"/>
  <c r="B131" i="17"/>
  <c r="B130" i="17"/>
  <c r="B129" i="17"/>
  <c r="B128" i="17"/>
  <c r="B127" i="17"/>
  <c r="B126" i="17"/>
  <c r="B123" i="17"/>
  <c r="B122" i="17"/>
  <c r="B121" i="17"/>
  <c r="B120" i="17"/>
  <c r="B119" i="17"/>
  <c r="B118" i="17"/>
  <c r="B117" i="17"/>
  <c r="B113" i="17"/>
  <c r="B108" i="17"/>
  <c r="B107" i="17"/>
  <c r="B106" i="17"/>
  <c r="B105" i="17"/>
  <c r="B104" i="17"/>
  <c r="B103" i="17"/>
  <c r="B102" i="17"/>
  <c r="B101" i="17"/>
  <c r="B100" i="17"/>
  <c r="B99" i="17"/>
  <c r="B98" i="17"/>
  <c r="B97" i="17"/>
  <c r="B96" i="17"/>
  <c r="B95" i="17"/>
  <c r="B94" i="17"/>
  <c r="B91" i="17"/>
  <c r="B90" i="17"/>
  <c r="B87" i="17"/>
  <c r="B86" i="17"/>
  <c r="B83" i="17"/>
  <c r="B82" i="17"/>
  <c r="B81" i="17"/>
  <c r="B78" i="17"/>
  <c r="B77" i="17"/>
  <c r="B74" i="17"/>
  <c r="B73" i="17"/>
  <c r="B70" i="17"/>
  <c r="B69" i="17"/>
  <c r="B68" i="17"/>
  <c r="B65" i="17"/>
  <c r="B64" i="17"/>
  <c r="B63" i="17"/>
  <c r="B62" i="17"/>
  <c r="B61" i="17"/>
  <c r="B60" i="17"/>
  <c r="B59" i="17"/>
  <c r="B58" i="17"/>
  <c r="B57" i="17"/>
  <c r="B56" i="17"/>
  <c r="B51" i="17"/>
  <c r="B50" i="17"/>
  <c r="B47" i="17"/>
  <c r="B46" i="17"/>
  <c r="B45" i="17"/>
  <c r="B44" i="17"/>
  <c r="B43" i="17"/>
  <c r="B42" i="17"/>
  <c r="B41" i="17"/>
  <c r="B40" i="17"/>
  <c r="B37" i="17"/>
  <c r="B36" i="17"/>
  <c r="B31" i="17"/>
  <c r="B30" i="17"/>
  <c r="B27" i="17"/>
  <c r="B24" i="17"/>
  <c r="B23" i="17"/>
  <c r="A22" i="17"/>
  <c r="B22" i="17"/>
  <c r="B21" i="17"/>
  <c r="B18" i="17"/>
  <c r="B17" i="17"/>
  <c r="B16" i="17"/>
  <c r="B13" i="17"/>
  <c r="B12" i="17"/>
  <c r="B9" i="17"/>
  <c r="B8" i="17"/>
  <c r="B7" i="17"/>
  <c r="B6" i="17"/>
  <c r="C45" i="18"/>
  <c r="A121" i="30"/>
  <c r="A107" i="30"/>
  <c r="A121" i="29"/>
  <c r="A107" i="29"/>
  <c r="A61" i="29"/>
  <c r="A22" i="29"/>
  <c r="A121" i="28"/>
  <c r="A107" i="28"/>
  <c r="A61" i="28"/>
  <c r="A22" i="28"/>
  <c r="A121" i="27"/>
  <c r="A107" i="27"/>
  <c r="A91" i="27"/>
  <c r="A61" i="27"/>
  <c r="A121" i="15"/>
  <c r="A107" i="15"/>
  <c r="A61" i="15"/>
  <c r="A121" i="17"/>
  <c r="A121" i="16"/>
  <c r="A107" i="16"/>
  <c r="A104" i="16"/>
  <c r="A61" i="17"/>
  <c r="A61" i="16"/>
  <c r="A171" i="30"/>
  <c r="A171" i="29"/>
  <c r="A171" i="28"/>
  <c r="A171" i="27"/>
  <c r="A171" i="15"/>
  <c r="A171" i="16"/>
  <c r="A172" i="17"/>
  <c r="A171" i="17"/>
  <c r="G265" i="1" l="1"/>
  <c r="F265" i="1" s="1"/>
  <c r="G197" i="1"/>
  <c r="F197" i="1" s="1"/>
  <c r="G239" i="1"/>
  <c r="F239" i="1" s="1"/>
  <c r="G167" i="1"/>
  <c r="F167" i="1" s="1"/>
  <c r="G371" i="1"/>
  <c r="F371" i="1" s="1"/>
  <c r="G300" i="1"/>
  <c r="F300" i="1" s="1"/>
  <c r="G202" i="1"/>
  <c r="F202" i="1" s="1"/>
  <c r="G356" i="1"/>
  <c r="F356" i="1" s="1"/>
  <c r="G346" i="1"/>
  <c r="F346" i="1" s="1"/>
  <c r="G321" i="1"/>
  <c r="F321" i="1" s="1"/>
  <c r="G306" i="1"/>
  <c r="F306" i="1" s="1"/>
  <c r="G244" i="1"/>
  <c r="F244" i="1" s="1"/>
  <c r="G182" i="1"/>
  <c r="F182" i="1" s="1"/>
  <c r="G260" i="1"/>
  <c r="F260" i="1" s="1"/>
  <c r="G289" i="1"/>
  <c r="F289" i="1" s="1"/>
  <c r="G227" i="1"/>
  <c r="F227" i="1" s="1"/>
  <c r="G361" i="1"/>
  <c r="F361" i="1" s="1"/>
  <c r="G250" i="1"/>
  <c r="F250" i="1" s="1"/>
  <c r="G311" i="1"/>
  <c r="F311" i="1" s="1"/>
  <c r="G255" i="1"/>
  <c r="F255" i="1" s="1"/>
  <c r="G172" i="1"/>
  <c r="F172" i="1" s="1"/>
  <c r="G326" i="1"/>
  <c r="F326" i="1" s="1"/>
  <c r="G177" i="1"/>
  <c r="F177" i="1" s="1"/>
  <c r="G341" i="1"/>
  <c r="F341" i="1" s="1"/>
  <c r="G212" i="1"/>
  <c r="F212" i="1" s="1"/>
  <c r="G192" i="1"/>
  <c r="F192" i="1" s="1"/>
  <c r="G351" i="1"/>
  <c r="F351" i="1" s="1"/>
  <c r="G222" i="1"/>
  <c r="F222" i="1" s="1"/>
  <c r="G294" i="1"/>
  <c r="F294" i="1" s="1"/>
  <c r="G270" i="1"/>
  <c r="F270" i="1" s="1"/>
  <c r="G207" i="1"/>
  <c r="F207" i="1" s="1"/>
  <c r="G217" i="1"/>
  <c r="F217" i="1" s="1"/>
  <c r="G367" i="1"/>
  <c r="F367" i="1" s="1"/>
  <c r="G316" i="1"/>
  <c r="F316" i="1" s="1"/>
  <c r="G187" i="1"/>
  <c r="F187" i="1" s="1"/>
  <c r="G234" i="1"/>
  <c r="F234" i="1" s="1"/>
  <c r="G336" i="1"/>
  <c r="F336" i="1" s="1"/>
  <c r="G331" i="1"/>
  <c r="F331" i="1" s="1"/>
  <c r="O458" i="1"/>
  <c r="O457" i="1"/>
  <c r="O456" i="1"/>
  <c r="O566" i="1"/>
  <c r="O564" i="1"/>
  <c r="P564" i="1" s="1"/>
  <c r="O561" i="1"/>
  <c r="O559" i="1"/>
  <c r="O556" i="1"/>
  <c r="O555" i="1"/>
  <c r="O554" i="1"/>
  <c r="P554" i="1" s="1"/>
  <c r="O551" i="1"/>
  <c r="O550" i="1"/>
  <c r="O549" i="1"/>
  <c r="O545" i="1"/>
  <c r="O544" i="1"/>
  <c r="O543" i="1"/>
  <c r="O540" i="1"/>
  <c r="O539" i="1"/>
  <c r="O538" i="1"/>
  <c r="O535" i="1"/>
  <c r="O534" i="1"/>
  <c r="O533" i="1"/>
  <c r="O530" i="1"/>
  <c r="O529" i="1"/>
  <c r="O528" i="1"/>
  <c r="O525" i="1"/>
  <c r="O524" i="1"/>
  <c r="O523" i="1"/>
  <c r="O520" i="1"/>
  <c r="O519" i="1"/>
  <c r="O518" i="1"/>
  <c r="O515" i="1"/>
  <c r="O514" i="1"/>
  <c r="O513" i="1"/>
  <c r="O510" i="1"/>
  <c r="O509" i="1"/>
  <c r="O508" i="1"/>
  <c r="P508" i="1" s="1"/>
  <c r="O505" i="1"/>
  <c r="O504" i="1"/>
  <c r="O503" i="1"/>
  <c r="O500" i="1"/>
  <c r="O499" i="1"/>
  <c r="O498" i="1"/>
  <c r="O495" i="1"/>
  <c r="O494" i="1"/>
  <c r="O493" i="1"/>
  <c r="O490" i="1"/>
  <c r="O488" i="1"/>
  <c r="O483" i="1"/>
  <c r="P485" i="1" s="1"/>
  <c r="O480" i="1"/>
  <c r="O478" i="1"/>
  <c r="O475" i="1"/>
  <c r="O473" i="1"/>
  <c r="O470" i="1"/>
  <c r="O468" i="1"/>
  <c r="O465" i="1"/>
  <c r="P463" i="1"/>
  <c r="O452" i="1"/>
  <c r="O451" i="1"/>
  <c r="O450" i="1"/>
  <c r="O447" i="1"/>
  <c r="O446" i="1"/>
  <c r="O445" i="1"/>
  <c r="O442" i="1"/>
  <c r="O441" i="1"/>
  <c r="O440" i="1"/>
  <c r="O437" i="1"/>
  <c r="O436" i="1"/>
  <c r="O435" i="1"/>
  <c r="P435" i="1" s="1"/>
  <c r="O432" i="1"/>
  <c r="O431" i="1"/>
  <c r="O430" i="1"/>
  <c r="O427" i="1"/>
  <c r="O426" i="1"/>
  <c r="O425" i="1"/>
  <c r="O421" i="1"/>
  <c r="O420" i="1"/>
  <c r="O419" i="1"/>
  <c r="O414" i="1"/>
  <c r="O406" i="1"/>
  <c r="O405" i="1"/>
  <c r="O404" i="1"/>
  <c r="O399" i="1"/>
  <c r="O394" i="1"/>
  <c r="P394" i="1" s="1"/>
  <c r="O389" i="1"/>
  <c r="P389" i="1" s="1"/>
  <c r="O373" i="1"/>
  <c r="O372" i="1"/>
  <c r="O367" i="1"/>
  <c r="O368" i="1"/>
  <c r="O369" i="1"/>
  <c r="O364" i="1"/>
  <c r="O363" i="1"/>
  <c r="O362" i="1"/>
  <c r="O359" i="1"/>
  <c r="O358" i="1"/>
  <c r="O357" i="1"/>
  <c r="O352" i="1"/>
  <c r="O347" i="1"/>
  <c r="O344" i="1"/>
  <c r="O343" i="1"/>
  <c r="O342" i="1"/>
  <c r="O339" i="1"/>
  <c r="O338" i="1"/>
  <c r="O337" i="1"/>
  <c r="O334" i="1"/>
  <c r="O333" i="1"/>
  <c r="O332" i="1"/>
  <c r="P332" i="1" s="1"/>
  <c r="O329" i="1"/>
  <c r="O328" i="1"/>
  <c r="O327" i="1"/>
  <c r="O324" i="1"/>
  <c r="O323" i="1"/>
  <c r="O322" i="1"/>
  <c r="O319" i="1"/>
  <c r="O318" i="1"/>
  <c r="O317" i="1"/>
  <c r="O314" i="1"/>
  <c r="O313" i="1"/>
  <c r="O312" i="1"/>
  <c r="O303" i="1"/>
  <c r="O302" i="1"/>
  <c r="O301" i="1"/>
  <c r="O297" i="1"/>
  <c r="O296" i="1"/>
  <c r="O295" i="1"/>
  <c r="O292" i="1"/>
  <c r="O290" i="1"/>
  <c r="O273" i="1"/>
  <c r="O272" i="1"/>
  <c r="O271" i="1"/>
  <c r="O268" i="1"/>
  <c r="O267" i="1"/>
  <c r="O266" i="1"/>
  <c r="P266" i="1" s="1"/>
  <c r="O263" i="1"/>
  <c r="O262" i="1"/>
  <c r="O261" i="1"/>
  <c r="O258" i="1"/>
  <c r="O257" i="1"/>
  <c r="O256" i="1"/>
  <c r="O253" i="1"/>
  <c r="O252" i="1"/>
  <c r="O251" i="1"/>
  <c r="O247" i="1"/>
  <c r="O246" i="1"/>
  <c r="O245" i="1"/>
  <c r="P245" i="1" s="1"/>
  <c r="O242" i="1"/>
  <c r="O241" i="1"/>
  <c r="O240" i="1"/>
  <c r="O237" i="1"/>
  <c r="O230" i="1"/>
  <c r="O225" i="1"/>
  <c r="O224" i="1"/>
  <c r="O223" i="1"/>
  <c r="O220" i="1"/>
  <c r="O219" i="1"/>
  <c r="O218" i="1"/>
  <c r="O210" i="1"/>
  <c r="O209" i="1"/>
  <c r="O208" i="1"/>
  <c r="P208" i="1" s="1"/>
  <c r="O205" i="1"/>
  <c r="O204" i="1"/>
  <c r="O203" i="1"/>
  <c r="P203" i="1" s="1"/>
  <c r="O200" i="1"/>
  <c r="O198" i="1"/>
  <c r="P198" i="1" s="1"/>
  <c r="O195" i="1"/>
  <c r="O194" i="1"/>
  <c r="O193" i="1"/>
  <c r="O190" i="1"/>
  <c r="O189" i="1"/>
  <c r="O188" i="1"/>
  <c r="O185" i="1"/>
  <c r="O184" i="1"/>
  <c r="O183" i="1"/>
  <c r="O180" i="1"/>
  <c r="O179" i="1"/>
  <c r="O178" i="1"/>
  <c r="O175" i="1"/>
  <c r="O174" i="1"/>
  <c r="O173" i="1"/>
  <c r="O168" i="1"/>
  <c r="P168" i="1" s="1"/>
  <c r="O162" i="1"/>
  <c r="O161" i="1"/>
  <c r="O160" i="1"/>
  <c r="O157" i="1"/>
  <c r="O156" i="1"/>
  <c r="O155" i="1"/>
  <c r="O152" i="1"/>
  <c r="O151" i="1"/>
  <c r="O150" i="1"/>
  <c r="P150" i="1" s="1"/>
  <c r="O147" i="1"/>
  <c r="O146" i="1"/>
  <c r="O145" i="1"/>
  <c r="O140" i="1"/>
  <c r="P140" i="1" s="1"/>
  <c r="O137" i="1"/>
  <c r="O136" i="1"/>
  <c r="O135" i="1"/>
  <c r="O132" i="1"/>
  <c r="O131" i="1"/>
  <c r="O130" i="1"/>
  <c r="O127" i="1"/>
  <c r="O120" i="1"/>
  <c r="O117" i="1"/>
  <c r="O116" i="1"/>
  <c r="O115" i="1"/>
  <c r="O112" i="1"/>
  <c r="O111" i="1"/>
  <c r="O110" i="1"/>
  <c r="O92" i="1"/>
  <c r="O87" i="1"/>
  <c r="O85" i="1"/>
  <c r="O81" i="1"/>
  <c r="O80" i="1"/>
  <c r="O79" i="1"/>
  <c r="O76" i="1"/>
  <c r="O75" i="1"/>
  <c r="O74" i="1"/>
  <c r="O71" i="1"/>
  <c r="O70" i="1"/>
  <c r="O69" i="1"/>
  <c r="O66" i="1"/>
  <c r="O65" i="1"/>
  <c r="O64" i="1"/>
  <c r="O61" i="1"/>
  <c r="O60" i="1"/>
  <c r="O59" i="1"/>
  <c r="O54" i="1"/>
  <c r="O53" i="1"/>
  <c r="O52" i="1"/>
  <c r="O48" i="1"/>
  <c r="O47" i="1"/>
  <c r="O46" i="1"/>
  <c r="O43" i="1"/>
  <c r="O42" i="1"/>
  <c r="O41" i="1"/>
  <c r="O38" i="1"/>
  <c r="O37" i="1"/>
  <c r="O36" i="1"/>
  <c r="O33" i="1"/>
  <c r="O32" i="1"/>
  <c r="O31" i="1"/>
  <c r="O27" i="1"/>
  <c r="O26" i="1"/>
  <c r="O23" i="1"/>
  <c r="O22" i="1"/>
  <c r="O21" i="1"/>
  <c r="O18" i="1"/>
  <c r="O17" i="1"/>
  <c r="O16" i="1"/>
  <c r="O13" i="1"/>
  <c r="O12" i="1"/>
  <c r="O11" i="1"/>
  <c r="O7" i="1"/>
  <c r="O6" i="1"/>
  <c r="O5" i="1"/>
  <c r="P116" i="1" l="1"/>
  <c r="P358" i="1"/>
  <c r="P550" i="1"/>
  <c r="P566" i="1"/>
  <c r="P71" i="1"/>
  <c r="P230" i="1"/>
  <c r="P157" i="1"/>
  <c r="P253" i="1"/>
  <c r="P318" i="1"/>
  <c r="P23" i="1"/>
  <c r="P451" i="1"/>
  <c r="P465" i="1"/>
  <c r="P490" i="1"/>
  <c r="P80" i="1"/>
  <c r="P60" i="1"/>
  <c r="P70" i="1"/>
  <c r="P137" i="1"/>
  <c r="P561" i="1"/>
  <c r="P343" i="1"/>
  <c r="P12" i="1"/>
  <c r="P194" i="1"/>
  <c r="P328" i="1"/>
  <c r="P519" i="1"/>
  <c r="P297" i="1"/>
  <c r="P241" i="1"/>
  <c r="P426" i="1"/>
  <c r="P446" i="1"/>
  <c r="P470" i="1"/>
  <c r="P480" i="1"/>
  <c r="P53" i="1"/>
  <c r="P200" i="1"/>
  <c r="P242" i="1"/>
  <c r="P262" i="1"/>
  <c r="P313" i="1"/>
  <c r="P420" i="1"/>
  <c r="P515" i="1"/>
  <c r="P535" i="1"/>
  <c r="P27" i="1"/>
  <c r="P43" i="1"/>
  <c r="P161" i="1"/>
  <c r="P339" i="1"/>
  <c r="P505" i="1"/>
  <c r="P37" i="1"/>
  <c r="P160" i="1"/>
  <c r="P257" i="1"/>
  <c r="P302" i="1"/>
  <c r="P373" i="1"/>
  <c r="P258" i="1"/>
  <c r="P344" i="1"/>
  <c r="P42" i="1"/>
  <c r="P61" i="1"/>
  <c r="P65" i="1"/>
  <c r="P66" i="1"/>
  <c r="P81" i="1"/>
  <c r="P147" i="1"/>
  <c r="P179" i="1"/>
  <c r="P180" i="1"/>
  <c r="P189" i="1"/>
  <c r="P190" i="1"/>
  <c r="P210" i="1"/>
  <c r="P256" i="1"/>
  <c r="P263" i="1"/>
  <c r="P301" i="1"/>
  <c r="P314" i="1"/>
  <c r="P342" i="1"/>
  <c r="P372" i="1"/>
  <c r="P437" i="1"/>
  <c r="P447" i="1"/>
  <c r="P518" i="1"/>
  <c r="P525" i="1"/>
  <c r="P534" i="1"/>
  <c r="P303" i="1"/>
  <c r="P520" i="1"/>
  <c r="P13" i="1"/>
  <c r="P33" i="1"/>
  <c r="P64" i="1"/>
  <c r="P117" i="1"/>
  <c r="P127" i="1"/>
  <c r="P178" i="1"/>
  <c r="P188" i="1"/>
  <c r="P252" i="1"/>
  <c r="P261" i="1"/>
  <c r="P267" i="1"/>
  <c r="P268" i="1"/>
  <c r="P292" i="1"/>
  <c r="P312" i="1"/>
  <c r="P319" i="1"/>
  <c r="P323" i="1"/>
  <c r="P324" i="1"/>
  <c r="P338" i="1"/>
  <c r="P427" i="1"/>
  <c r="P442" i="1"/>
  <c r="P445" i="1"/>
  <c r="P452" i="1"/>
  <c r="P499" i="1"/>
  <c r="P514" i="1"/>
  <c r="P529" i="1"/>
  <c r="P544" i="1"/>
  <c r="P545" i="1"/>
  <c r="P47" i="1"/>
  <c r="P111" i="1"/>
  <c r="P162" i="1"/>
  <c r="P209" i="1"/>
  <c r="P225" i="1"/>
  <c r="P237" i="1"/>
  <c r="P246" i="1"/>
  <c r="P247" i="1"/>
  <c r="P273" i="1"/>
  <c r="P322" i="1"/>
  <c r="P329" i="1"/>
  <c r="P333" i="1"/>
  <c r="P334" i="1"/>
  <c r="P359" i="1"/>
  <c r="P436" i="1"/>
  <c r="P509" i="1"/>
  <c r="P510" i="1"/>
  <c r="P524" i="1"/>
  <c r="P540" i="1"/>
  <c r="P543" i="1"/>
  <c r="P551" i="1"/>
  <c r="P555" i="1"/>
  <c r="P556" i="1"/>
  <c r="P132" i="1"/>
  <c r="P130" i="1"/>
  <c r="P22" i="1"/>
  <c r="P26" i="1"/>
  <c r="P36" i="1"/>
  <c r="P38" i="1"/>
  <c r="P46" i="1"/>
  <c r="P48" i="1"/>
  <c r="P85" i="1"/>
  <c r="P87" i="1"/>
  <c r="P110" i="1"/>
  <c r="P112" i="1"/>
  <c r="P120" i="1"/>
  <c r="P136" i="1"/>
  <c r="P146" i="1"/>
  <c r="P185" i="1"/>
  <c r="P183" i="1"/>
  <c r="P494" i="1"/>
  <c r="P495" i="1"/>
  <c r="P493" i="1"/>
  <c r="P457" i="1"/>
  <c r="P456" i="1"/>
  <c r="P175" i="1"/>
  <c r="P173" i="1"/>
  <c r="P405" i="1"/>
  <c r="P406" i="1"/>
  <c r="P404" i="1"/>
  <c r="P11" i="1"/>
  <c r="P54" i="1"/>
  <c r="P59" i="1"/>
  <c r="P69" i="1"/>
  <c r="P131" i="1"/>
  <c r="P174" i="1"/>
  <c r="P195" i="1"/>
  <c r="P193" i="1"/>
  <c r="P205" i="1"/>
  <c r="P213" i="1"/>
  <c r="P214" i="1"/>
  <c r="P228" i="1"/>
  <c r="P236" i="1"/>
  <c r="P363" i="1"/>
  <c r="P364" i="1"/>
  <c r="P362" i="1"/>
  <c r="P28" i="1"/>
  <c r="P18" i="1"/>
  <c r="P21" i="1"/>
  <c r="P41" i="1"/>
  <c r="P76" i="1"/>
  <c r="P79" i="1"/>
  <c r="P92" i="1"/>
  <c r="P115" i="1"/>
  <c r="P151" i="1"/>
  <c r="P152" i="1"/>
  <c r="P184" i="1"/>
  <c r="P369" i="1"/>
  <c r="P367" i="1"/>
  <c r="P414" i="1"/>
  <c r="P458" i="1"/>
  <c r="P296" i="1"/>
  <c r="P396" i="1"/>
  <c r="P441" i="1"/>
  <c r="P504" i="1"/>
  <c r="P539" i="1"/>
  <c r="P156" i="1"/>
  <c r="P220" i="1"/>
  <c r="P240" i="1"/>
  <c r="P251" i="1"/>
  <c r="P272" i="1"/>
  <c r="P317" i="1"/>
  <c r="P327" i="1"/>
  <c r="P337" i="1"/>
  <c r="P347" i="1"/>
  <c r="P421" i="1"/>
  <c r="P425" i="1"/>
  <c r="P450" i="1"/>
  <c r="P468" i="1"/>
  <c r="P513" i="1"/>
  <c r="P523" i="1"/>
  <c r="P549" i="1"/>
  <c r="P559" i="1"/>
  <c r="P204" i="1"/>
  <c r="P357" i="1"/>
  <c r="P399" i="1"/>
  <c r="P432" i="1"/>
  <c r="P475" i="1"/>
  <c r="P478" i="1"/>
  <c r="P488" i="1"/>
  <c r="P500" i="1"/>
  <c r="P530" i="1"/>
  <c r="P533" i="1"/>
  <c r="P538" i="1"/>
  <c r="P528" i="1"/>
  <c r="P503" i="1"/>
  <c r="P498" i="1"/>
  <c r="P483" i="1"/>
  <c r="P473" i="1"/>
  <c r="P440" i="1"/>
  <c r="P431" i="1"/>
  <c r="P430" i="1"/>
  <c r="P419" i="1"/>
  <c r="P352" i="1"/>
  <c r="P295" i="1"/>
  <c r="P291" i="1"/>
  <c r="P290" i="1"/>
  <c r="P271" i="1"/>
  <c r="P235" i="1"/>
  <c r="P224" i="1"/>
  <c r="P223" i="1"/>
  <c r="P219" i="1"/>
  <c r="P218" i="1"/>
  <c r="P155" i="1"/>
  <c r="P145" i="1"/>
  <c r="P135" i="1"/>
  <c r="P75" i="1"/>
  <c r="P74" i="1"/>
  <c r="P52" i="1"/>
  <c r="P32" i="1"/>
  <c r="P31" i="1"/>
  <c r="P17" i="1"/>
  <c r="P16" i="1"/>
  <c r="P7" i="1" l="1"/>
  <c r="P6" i="1"/>
  <c r="P5" i="1"/>
  <c r="U369" i="1" l="1"/>
  <c r="U368" i="1"/>
  <c r="U367" i="1"/>
  <c r="F3" i="36"/>
  <c r="G3" i="36"/>
  <c r="F4" i="36"/>
  <c r="F239" i="36"/>
  <c r="F238" i="36"/>
  <c r="F237" i="36"/>
  <c r="G237" i="36"/>
  <c r="F302" i="36"/>
  <c r="F301" i="36"/>
  <c r="F300" i="36"/>
  <c r="F299" i="36"/>
  <c r="F298" i="36"/>
  <c r="F297" i="36"/>
  <c r="F296" i="36"/>
  <c r="F295" i="36"/>
  <c r="F294" i="36"/>
  <c r="F293" i="36"/>
  <c r="F292" i="36"/>
  <c r="F291" i="36"/>
  <c r="G291" i="36"/>
  <c r="F290" i="36"/>
  <c r="F289" i="36"/>
  <c r="F288" i="36"/>
  <c r="F287" i="36"/>
  <c r="F286" i="36"/>
  <c r="F285" i="36"/>
  <c r="F284" i="36"/>
  <c r="F283" i="36"/>
  <c r="F282" i="36"/>
  <c r="F281" i="36"/>
  <c r="F280" i="36"/>
  <c r="F279" i="36"/>
  <c r="G279" i="36"/>
  <c r="F278" i="36"/>
  <c r="F277" i="36"/>
  <c r="F276" i="36"/>
  <c r="F275" i="36"/>
  <c r="F274" i="36"/>
  <c r="F273" i="36"/>
  <c r="F272" i="36"/>
  <c r="F271" i="36"/>
  <c r="F270" i="36"/>
  <c r="G272" i="36"/>
  <c r="F269" i="36"/>
  <c r="F268" i="36"/>
  <c r="F267" i="36"/>
  <c r="G267" i="36"/>
  <c r="F266" i="36"/>
  <c r="F265" i="36"/>
  <c r="F264" i="36"/>
  <c r="F263" i="36"/>
  <c r="F262" i="36"/>
  <c r="F261" i="36"/>
  <c r="F260" i="36"/>
  <c r="F259" i="36"/>
  <c r="F258" i="36"/>
  <c r="F257" i="36"/>
  <c r="F256" i="36"/>
  <c r="F255" i="36"/>
  <c r="G255" i="36"/>
  <c r="F254" i="36"/>
  <c r="F253" i="36"/>
  <c r="G253" i="36"/>
  <c r="F252" i="36"/>
  <c r="F251" i="36"/>
  <c r="F250" i="36"/>
  <c r="F249" i="36"/>
  <c r="F248" i="36"/>
  <c r="F247" i="36"/>
  <c r="F246" i="36"/>
  <c r="G248" i="36"/>
  <c r="F245" i="36"/>
  <c r="F244" i="36"/>
  <c r="F243" i="36"/>
  <c r="G243" i="36"/>
  <c r="F242" i="36"/>
  <c r="F241" i="36"/>
  <c r="F240" i="36"/>
  <c r="F236" i="36"/>
  <c r="F235" i="36"/>
  <c r="F234" i="36"/>
  <c r="F233" i="36"/>
  <c r="F232" i="36"/>
  <c r="F231" i="36"/>
  <c r="G233" i="36"/>
  <c r="F230" i="36"/>
  <c r="F229" i="36"/>
  <c r="F228" i="36"/>
  <c r="G228" i="36"/>
  <c r="F227" i="36"/>
  <c r="F226" i="36"/>
  <c r="F225" i="36"/>
  <c r="G225" i="36"/>
  <c r="F224" i="36"/>
  <c r="F223" i="36"/>
  <c r="F222" i="36"/>
  <c r="F221" i="36"/>
  <c r="F220" i="36"/>
  <c r="F219" i="36"/>
  <c r="G219" i="36"/>
  <c r="F218" i="36"/>
  <c r="F217" i="36"/>
  <c r="F216" i="36"/>
  <c r="F215" i="36"/>
  <c r="F214" i="36"/>
  <c r="F213" i="36"/>
  <c r="F212" i="36"/>
  <c r="F211" i="36"/>
  <c r="F210" i="36"/>
  <c r="G210" i="36"/>
  <c r="F209" i="36"/>
  <c r="F208" i="36"/>
  <c r="F207" i="36"/>
  <c r="F206" i="36"/>
  <c r="F205" i="36"/>
  <c r="F204" i="36"/>
  <c r="G204" i="36"/>
  <c r="F203" i="36"/>
  <c r="F202" i="36"/>
  <c r="G202" i="36"/>
  <c r="F201" i="36"/>
  <c r="F197" i="36"/>
  <c r="F196" i="36"/>
  <c r="F195" i="36"/>
  <c r="F194" i="36"/>
  <c r="F193" i="36"/>
  <c r="F192" i="36"/>
  <c r="F191" i="36"/>
  <c r="F190" i="36"/>
  <c r="F189" i="36"/>
  <c r="G189" i="36"/>
  <c r="F188" i="36"/>
  <c r="F187" i="36"/>
  <c r="F186" i="36"/>
  <c r="G186" i="36"/>
  <c r="F185" i="36"/>
  <c r="F184" i="36"/>
  <c r="F183" i="36"/>
  <c r="F182" i="36"/>
  <c r="F181" i="36"/>
  <c r="F180" i="36"/>
  <c r="G182" i="36"/>
  <c r="F179" i="36"/>
  <c r="F178" i="36"/>
  <c r="F177" i="36"/>
  <c r="G177" i="36"/>
  <c r="F176" i="36"/>
  <c r="F175" i="36"/>
  <c r="F174" i="36"/>
  <c r="F173" i="36"/>
  <c r="F172" i="36"/>
  <c r="F171" i="36"/>
  <c r="F170" i="36"/>
  <c r="F169" i="36"/>
  <c r="F168" i="36"/>
  <c r="F167" i="36"/>
  <c r="F166" i="36"/>
  <c r="F165" i="36"/>
  <c r="G165" i="36"/>
  <c r="F164" i="36"/>
  <c r="F163" i="36"/>
  <c r="F162" i="36"/>
  <c r="F161" i="36"/>
  <c r="F160" i="36"/>
  <c r="F159" i="36"/>
  <c r="G159" i="36"/>
  <c r="F158" i="36"/>
  <c r="F157" i="36"/>
  <c r="F156" i="36"/>
  <c r="G156" i="36"/>
  <c r="F155" i="36"/>
  <c r="F154" i="36"/>
  <c r="F153" i="36"/>
  <c r="G153" i="36"/>
  <c r="F152" i="36"/>
  <c r="F151" i="36"/>
  <c r="F150" i="36"/>
  <c r="G150" i="36"/>
  <c r="F149" i="36"/>
  <c r="F148" i="36"/>
  <c r="F147" i="36"/>
  <c r="F146" i="36"/>
  <c r="F145" i="36"/>
  <c r="F144" i="36"/>
  <c r="F143" i="36"/>
  <c r="F142" i="36"/>
  <c r="F141" i="36"/>
  <c r="G211" i="36"/>
  <c r="G218" i="36"/>
  <c r="G271" i="36"/>
  <c r="G146" i="36"/>
  <c r="G152" i="36"/>
  <c r="G164" i="36"/>
  <c r="G176" i="36"/>
  <c r="G203" i="36"/>
  <c r="G215" i="36"/>
  <c r="G227" i="36"/>
  <c r="G242" i="36"/>
  <c r="G254" i="36"/>
  <c r="G266" i="36"/>
  <c r="G278" i="36"/>
  <c r="G290" i="36"/>
  <c r="G302" i="36"/>
  <c r="G174" i="36"/>
  <c r="G205" i="36"/>
  <c r="G209" i="36"/>
  <c r="G244" i="36"/>
  <c r="G292" i="36"/>
  <c r="G154" i="36"/>
  <c r="G162" i="36"/>
  <c r="G213" i="36"/>
  <c r="G229" i="36"/>
  <c r="G252" i="36"/>
  <c r="G264" i="36"/>
  <c r="G238" i="36"/>
  <c r="G280" i="36"/>
  <c r="G143" i="36"/>
  <c r="G149" i="36"/>
  <c r="G161" i="36"/>
  <c r="G173" i="36"/>
  <c r="G185" i="36"/>
  <c r="G197" i="36"/>
  <c r="G206" i="36"/>
  <c r="G212" i="36"/>
  <c r="G224" i="36"/>
  <c r="G230" i="36"/>
  <c r="G236" i="36"/>
  <c r="G251" i="36"/>
  <c r="G275" i="36"/>
  <c r="G287" i="36"/>
  <c r="G299" i="36"/>
  <c r="G239" i="36"/>
  <c r="G163" i="36"/>
  <c r="G190" i="36"/>
  <c r="G214" i="36"/>
  <c r="G256" i="36"/>
  <c r="G270" i="36"/>
  <c r="G157" i="36"/>
  <c r="G169" i="36"/>
  <c r="G181" i="36"/>
  <c r="G193" i="36"/>
  <c r="G208" i="36"/>
  <c r="G232" i="36"/>
  <c r="G247" i="36"/>
  <c r="G259" i="36"/>
  <c r="G262" i="36"/>
  <c r="G283" i="36"/>
  <c r="G295" i="36"/>
  <c r="G144" i="36"/>
  <c r="G158" i="36"/>
  <c r="G170" i="36"/>
  <c r="G201" i="36"/>
  <c r="G216" i="36"/>
  <c r="G240" i="36"/>
  <c r="G276" i="36"/>
  <c r="G301" i="36"/>
  <c r="G300" i="36"/>
  <c r="G296" i="36"/>
  <c r="G297" i="36"/>
  <c r="G294" i="36"/>
  <c r="G298" i="36"/>
  <c r="G289" i="36"/>
  <c r="G293" i="36"/>
  <c r="G288" i="36"/>
  <c r="G285" i="36"/>
  <c r="G282" i="36"/>
  <c r="G286" i="36"/>
  <c r="G284" i="36"/>
  <c r="G281" i="36"/>
  <c r="G273" i="36"/>
  <c r="G277" i="36"/>
  <c r="G274" i="36"/>
  <c r="G269" i="36"/>
  <c r="G268" i="36"/>
  <c r="G263" i="36"/>
  <c r="G265" i="36"/>
  <c r="G261" i="36"/>
  <c r="G260" i="36"/>
  <c r="G258" i="36"/>
  <c r="G257" i="36"/>
  <c r="G249" i="36"/>
  <c r="G246" i="36"/>
  <c r="G250" i="36"/>
  <c r="G245" i="36"/>
  <c r="G241" i="36"/>
  <c r="G234" i="36"/>
  <c r="G235" i="36"/>
  <c r="G231" i="36"/>
  <c r="G226" i="36"/>
  <c r="G220" i="36"/>
  <c r="G217" i="36"/>
  <c r="G221" i="36"/>
  <c r="G222" i="36"/>
  <c r="G223" i="36"/>
  <c r="G207" i="36"/>
  <c r="G195" i="36"/>
  <c r="G196" i="36"/>
  <c r="G194" i="36"/>
  <c r="G192" i="36"/>
  <c r="G191" i="36"/>
  <c r="G183" i="36"/>
  <c r="G187" i="36"/>
  <c r="G184" i="36"/>
  <c r="G188" i="36"/>
  <c r="G178" i="36"/>
  <c r="G167" i="36"/>
  <c r="G171" i="36"/>
  <c r="G175" i="36"/>
  <c r="G179" i="36"/>
  <c r="G166" i="36"/>
  <c r="G168" i="36"/>
  <c r="G172" i="36"/>
  <c r="G180" i="36"/>
  <c r="G160" i="36"/>
  <c r="G155" i="36"/>
  <c r="G151" i="36"/>
  <c r="G147" i="36"/>
  <c r="G148" i="36"/>
  <c r="G145" i="36"/>
  <c r="G142" i="36"/>
  <c r="G141" i="36"/>
  <c r="G4" i="36"/>
  <c r="F140" i="36"/>
  <c r="F139" i="36"/>
  <c r="F138" i="36"/>
  <c r="F137" i="36"/>
  <c r="F136"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G138" i="36"/>
  <c r="G139" i="36"/>
  <c r="G140" i="36"/>
  <c r="G137" i="36"/>
  <c r="G136" i="36"/>
  <c r="G135" i="36"/>
  <c r="G133" i="36"/>
  <c r="G132" i="36"/>
  <c r="G134" i="36"/>
  <c r="G129" i="36"/>
  <c r="G130" i="36"/>
  <c r="G131" i="36"/>
  <c r="G127" i="36"/>
  <c r="G126" i="36"/>
  <c r="G128" i="36"/>
  <c r="G125" i="36"/>
  <c r="G124" i="36"/>
  <c r="G123" i="36"/>
  <c r="G120" i="36"/>
  <c r="G121" i="36"/>
  <c r="G122" i="36"/>
  <c r="G119" i="36"/>
  <c r="G118" i="36"/>
  <c r="G117" i="36"/>
  <c r="G115" i="36"/>
  <c r="G114" i="36"/>
  <c r="G116" i="36"/>
  <c r="G111" i="36"/>
  <c r="G112" i="36"/>
  <c r="G113" i="36"/>
  <c r="G109" i="36"/>
  <c r="G108" i="36"/>
  <c r="G110" i="36"/>
  <c r="G107" i="36"/>
  <c r="G106" i="36"/>
  <c r="G105" i="36"/>
  <c r="G99" i="36"/>
  <c r="G100" i="36"/>
  <c r="G101" i="36"/>
  <c r="G103" i="36"/>
  <c r="G102" i="36"/>
  <c r="G104" i="36"/>
  <c r="G96" i="36"/>
  <c r="G98" i="36"/>
  <c r="G97" i="36"/>
  <c r="G95" i="36"/>
  <c r="G94" i="36"/>
  <c r="G93" i="36"/>
  <c r="G91" i="36"/>
  <c r="G90" i="36"/>
  <c r="G92" i="36"/>
  <c r="G87" i="36"/>
  <c r="G88" i="36"/>
  <c r="G89" i="36"/>
  <c r="G86" i="36"/>
  <c r="G85" i="36"/>
  <c r="G84"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5" i="36"/>
  <c r="G5" i="36"/>
  <c r="F2" i="36"/>
  <c r="G2" i="36"/>
  <c r="A90" i="30"/>
  <c r="A90" i="29"/>
  <c r="G81" i="36"/>
  <c r="G82" i="36"/>
  <c r="G83" i="36"/>
  <c r="G79" i="36"/>
  <c r="G78" i="36"/>
  <c r="G80" i="36"/>
  <c r="G77" i="36"/>
  <c r="G76" i="36"/>
  <c r="G75" i="36"/>
  <c r="G73" i="36"/>
  <c r="G72" i="36"/>
  <c r="G74" i="36"/>
  <c r="G69" i="36"/>
  <c r="G70" i="36"/>
  <c r="G71" i="36"/>
  <c r="G66" i="36"/>
  <c r="G68" i="36"/>
  <c r="G67" i="36"/>
  <c r="G65" i="36"/>
  <c r="G64" i="36"/>
  <c r="G63" i="36"/>
  <c r="G61" i="36"/>
  <c r="G60" i="36"/>
  <c r="G62" i="36"/>
  <c r="G57" i="36"/>
  <c r="G58" i="36"/>
  <c r="G59" i="36"/>
  <c r="G55" i="36"/>
  <c r="G54" i="36"/>
  <c r="G56" i="36"/>
  <c r="G53" i="36"/>
  <c r="G52" i="36"/>
  <c r="G51" i="36"/>
  <c r="G49" i="36"/>
  <c r="G50" i="36"/>
  <c r="G48" i="36"/>
  <c r="G45" i="36"/>
  <c r="G47" i="36"/>
  <c r="G46" i="36"/>
  <c r="G42" i="36"/>
  <c r="G44" i="36"/>
  <c r="G43" i="36"/>
  <c r="G41" i="36"/>
  <c r="G40" i="36"/>
  <c r="G39" i="36"/>
  <c r="G37" i="36"/>
  <c r="G38" i="36"/>
  <c r="G36" i="36"/>
  <c r="G33" i="36"/>
  <c r="G34" i="36"/>
  <c r="G35" i="36"/>
  <c r="G30" i="36"/>
  <c r="G32" i="36"/>
  <c r="G31" i="36"/>
  <c r="G29" i="36"/>
  <c r="G28" i="36"/>
  <c r="G27" i="36"/>
  <c r="G25" i="36"/>
  <c r="G24" i="36"/>
  <c r="G26" i="36"/>
  <c r="G21" i="36"/>
  <c r="G23" i="36"/>
  <c r="G22" i="36"/>
  <c r="G18" i="36"/>
  <c r="G20" i="36"/>
  <c r="G19" i="36"/>
  <c r="G17" i="36"/>
  <c r="G15" i="36"/>
  <c r="G16" i="36"/>
  <c r="G12" i="36"/>
  <c r="G13" i="36"/>
  <c r="G14" i="36"/>
  <c r="G11" i="36"/>
  <c r="G10" i="36"/>
  <c r="G9" i="36"/>
  <c r="G8" i="36"/>
  <c r="G7" i="36"/>
  <c r="G6" i="36"/>
  <c r="A90" i="28"/>
  <c r="A90" i="27"/>
  <c r="A90" i="15"/>
  <c r="A90" i="16"/>
  <c r="B153" i="36"/>
  <c r="B147" i="36"/>
  <c r="C91" i="17"/>
  <c r="A90" i="17"/>
  <c r="C150" i="36"/>
  <c r="C147" i="36"/>
  <c r="B126" i="36"/>
  <c r="B120" i="36"/>
  <c r="B78" i="36"/>
  <c r="B54" i="36"/>
  <c r="R97" i="34"/>
  <c r="R91" i="34"/>
  <c r="R78" i="34"/>
  <c r="R74" i="34"/>
  <c r="R55" i="34"/>
  <c r="R44" i="34"/>
  <c r="R35" i="34"/>
  <c r="L91" i="33"/>
  <c r="L97" i="33"/>
  <c r="L87" i="33"/>
  <c r="L78" i="33"/>
  <c r="L74" i="33"/>
  <c r="L55" i="33"/>
  <c r="L44" i="33"/>
  <c r="L35" i="33"/>
  <c r="A108" i="35"/>
  <c r="A106" i="35"/>
  <c r="A105" i="35"/>
  <c r="A104" i="35"/>
  <c r="A103" i="35"/>
  <c r="A102" i="35"/>
  <c r="A101" i="35"/>
  <c r="A100" i="35"/>
  <c r="A99" i="35"/>
  <c r="A98" i="35"/>
  <c r="A97" i="35"/>
  <c r="A96" i="35"/>
  <c r="A95" i="35"/>
  <c r="A94" i="35"/>
  <c r="A93" i="35"/>
  <c r="A89" i="35"/>
  <c r="A78" i="35"/>
  <c r="A77" i="35"/>
  <c r="A76" i="35"/>
  <c r="A74" i="35"/>
  <c r="A51" i="35"/>
  <c r="A50" i="35"/>
  <c r="A49" i="35"/>
  <c r="A47" i="35"/>
  <c r="A108" i="30"/>
  <c r="A106" i="30"/>
  <c r="A105" i="30"/>
  <c r="A104" i="30"/>
  <c r="A103" i="30"/>
  <c r="A102" i="30"/>
  <c r="A101" i="30"/>
  <c r="A100" i="30"/>
  <c r="A99" i="30"/>
  <c r="A98" i="30"/>
  <c r="A97" i="30"/>
  <c r="A96" i="30"/>
  <c r="A95" i="30"/>
  <c r="A94" i="30"/>
  <c r="A93" i="30"/>
  <c r="A89" i="30"/>
  <c r="A78" i="30"/>
  <c r="A77" i="30"/>
  <c r="A76" i="30"/>
  <c r="A74" i="30"/>
  <c r="A51" i="30"/>
  <c r="A50" i="30"/>
  <c r="A49" i="30"/>
  <c r="A47" i="30"/>
  <c r="A108" i="29"/>
  <c r="A106" i="29"/>
  <c r="A105" i="29"/>
  <c r="A104" i="29"/>
  <c r="A103" i="29"/>
  <c r="A102" i="29"/>
  <c r="A101" i="29"/>
  <c r="A100" i="29"/>
  <c r="A99" i="29"/>
  <c r="A98" i="29"/>
  <c r="A97" i="29"/>
  <c r="A96" i="29"/>
  <c r="A95" i="29"/>
  <c r="A94" i="29"/>
  <c r="A93" i="29"/>
  <c r="A89" i="29"/>
  <c r="A78" i="29"/>
  <c r="A77" i="29"/>
  <c r="A76" i="29"/>
  <c r="A74" i="29"/>
  <c r="A51" i="29"/>
  <c r="A50" i="29"/>
  <c r="A49" i="29"/>
  <c r="A47" i="29"/>
  <c r="A108" i="28"/>
  <c r="A106" i="28"/>
  <c r="A105" i="28"/>
  <c r="A104" i="28"/>
  <c r="A103" i="28"/>
  <c r="A102" i="28"/>
  <c r="A101" i="28"/>
  <c r="A100" i="28"/>
  <c r="A99" i="28"/>
  <c r="A98" i="28"/>
  <c r="A97" i="28"/>
  <c r="A96" i="28"/>
  <c r="A95" i="28"/>
  <c r="A94" i="28"/>
  <c r="A93" i="28"/>
  <c r="A89" i="28"/>
  <c r="A78" i="28"/>
  <c r="A77" i="28"/>
  <c r="A76" i="28"/>
  <c r="A74" i="28"/>
  <c r="A51" i="28"/>
  <c r="A50" i="28"/>
  <c r="A49" i="28"/>
  <c r="A47" i="28"/>
  <c r="A108" i="27"/>
  <c r="A106" i="27"/>
  <c r="A105" i="27"/>
  <c r="A104" i="27"/>
  <c r="A103" i="27"/>
  <c r="A102" i="27"/>
  <c r="A101" i="27"/>
  <c r="A100" i="27"/>
  <c r="A99" i="27"/>
  <c r="A98" i="27"/>
  <c r="A97" i="27"/>
  <c r="A96" i="27"/>
  <c r="A95" i="27"/>
  <c r="A94" i="27"/>
  <c r="A93" i="27"/>
  <c r="A89" i="27"/>
  <c r="A78" i="27"/>
  <c r="A77" i="27"/>
  <c r="A76" i="27"/>
  <c r="A74" i="27"/>
  <c r="A51" i="27"/>
  <c r="A50" i="27"/>
  <c r="A49" i="27"/>
  <c r="A47" i="27"/>
  <c r="A108" i="15"/>
  <c r="A106" i="15"/>
  <c r="A105" i="15"/>
  <c r="A104" i="15"/>
  <c r="A103" i="15"/>
  <c r="A102" i="15"/>
  <c r="A101" i="15"/>
  <c r="A100" i="15"/>
  <c r="A99" i="15"/>
  <c r="A98" i="15"/>
  <c r="A97" i="15"/>
  <c r="A96" i="15"/>
  <c r="A95" i="15"/>
  <c r="A94" i="15"/>
  <c r="A93" i="15"/>
  <c r="A89" i="15"/>
  <c r="A78" i="15"/>
  <c r="A77" i="15"/>
  <c r="A76" i="15"/>
  <c r="A74" i="15"/>
  <c r="A51" i="15"/>
  <c r="A50" i="15"/>
  <c r="A49" i="15"/>
  <c r="A47" i="15"/>
  <c r="A108" i="16"/>
  <c r="A106" i="16"/>
  <c r="A105" i="16"/>
  <c r="A103" i="16"/>
  <c r="A102" i="16"/>
  <c r="A101" i="16"/>
  <c r="A100" i="16"/>
  <c r="A99" i="16"/>
  <c r="A98" i="16"/>
  <c r="A97" i="16"/>
  <c r="A96" i="16"/>
  <c r="A95" i="16"/>
  <c r="A94" i="16"/>
  <c r="A93" i="16"/>
  <c r="A89" i="16"/>
  <c r="A78" i="16"/>
  <c r="A77" i="16"/>
  <c r="A76" i="16"/>
  <c r="A74" i="16"/>
  <c r="A51" i="16"/>
  <c r="A50" i="16"/>
  <c r="A49" i="16"/>
  <c r="A47" i="16"/>
  <c r="A78" i="17"/>
  <c r="A77" i="17"/>
  <c r="A76" i="17"/>
  <c r="A22" i="6"/>
  <c r="A21" i="6"/>
  <c r="A14" i="6"/>
  <c r="A13" i="6"/>
  <c r="A18" i="6"/>
  <c r="A51" i="17"/>
  <c r="A50" i="17"/>
  <c r="A49" i="17"/>
  <c r="A107" i="17"/>
  <c r="A108" i="17"/>
  <c r="A106" i="17"/>
  <c r="A105" i="17"/>
  <c r="A104" i="17"/>
  <c r="A103" i="17"/>
  <c r="A102" i="17"/>
  <c r="A101" i="17"/>
  <c r="A100" i="17"/>
  <c r="A99" i="17"/>
  <c r="A98" i="17"/>
  <c r="A97" i="17"/>
  <c r="A96" i="17"/>
  <c r="A95" i="17"/>
  <c r="A94" i="17"/>
  <c r="A93" i="17"/>
  <c r="H461" i="1"/>
  <c r="D239" i="36"/>
  <c r="C237" i="36"/>
  <c r="C300" i="36"/>
  <c r="C297" i="36"/>
  <c r="C294" i="36"/>
  <c r="C291" i="36"/>
  <c r="C288" i="36"/>
  <c r="C285" i="36"/>
  <c r="C282" i="36"/>
  <c r="C279" i="36"/>
  <c r="C276" i="36"/>
  <c r="C273" i="36"/>
  <c r="C270" i="36"/>
  <c r="C267" i="36"/>
  <c r="C264" i="36"/>
  <c r="C261" i="36"/>
  <c r="C258" i="36"/>
  <c r="C255" i="36"/>
  <c r="C252" i="36"/>
  <c r="C249" i="36"/>
  <c r="C246" i="36"/>
  <c r="C243" i="36"/>
  <c r="C240" i="36"/>
  <c r="C234" i="36"/>
  <c r="C231" i="36"/>
  <c r="C228" i="36"/>
  <c r="C225" i="36"/>
  <c r="C222" i="36"/>
  <c r="C219" i="36"/>
  <c r="C216" i="36"/>
  <c r="C213" i="36"/>
  <c r="C210" i="36"/>
  <c r="C207" i="36"/>
  <c r="D206" i="36"/>
  <c r="C204" i="36"/>
  <c r="C201" i="36"/>
  <c r="C195" i="36"/>
  <c r="C192" i="36"/>
  <c r="C189" i="36"/>
  <c r="C186" i="36"/>
  <c r="C183" i="36"/>
  <c r="C180" i="36"/>
  <c r="C177" i="36"/>
  <c r="C174" i="36"/>
  <c r="C171" i="36"/>
  <c r="C168" i="36"/>
  <c r="C165" i="36"/>
  <c r="C162" i="36"/>
  <c r="C159" i="36"/>
  <c r="C156" i="36"/>
  <c r="C153" i="36"/>
  <c r="C144" i="36"/>
  <c r="C141" i="36"/>
  <c r="C138" i="36"/>
  <c r="C135" i="36"/>
  <c r="C132" i="36"/>
  <c r="C129" i="36"/>
  <c r="C126" i="36"/>
  <c r="C123" i="36"/>
  <c r="C120" i="36"/>
  <c r="C117" i="36"/>
  <c r="C114" i="36"/>
  <c r="C111" i="36"/>
  <c r="C108" i="36"/>
  <c r="C105" i="36"/>
  <c r="C102" i="36"/>
  <c r="C99" i="36"/>
  <c r="C96" i="36"/>
  <c r="C93" i="36"/>
  <c r="D92" i="36"/>
  <c r="C90" i="36"/>
  <c r="C87" i="36"/>
  <c r="C84" i="36"/>
  <c r="C81" i="36"/>
  <c r="C78" i="36"/>
  <c r="C75" i="36"/>
  <c r="C72" i="36"/>
  <c r="C69" i="36"/>
  <c r="C66" i="36"/>
  <c r="C63" i="36"/>
  <c r="C60" i="36"/>
  <c r="C57" i="36"/>
  <c r="C54" i="36"/>
  <c r="C51" i="36"/>
  <c r="C48" i="36"/>
  <c r="C45" i="36"/>
  <c r="C42" i="36"/>
  <c r="C39" i="36"/>
  <c r="C36" i="36"/>
  <c r="C33" i="36"/>
  <c r="C30" i="36"/>
  <c r="C27" i="36"/>
  <c r="C24" i="36"/>
  <c r="C21" i="36"/>
  <c r="C18" i="36"/>
  <c r="D17" i="36"/>
  <c r="C15" i="36"/>
  <c r="C12" i="36"/>
  <c r="C9" i="36"/>
  <c r="C6" i="36"/>
  <c r="C22" i="18"/>
  <c r="K228" i="36" s="1"/>
  <c r="C21" i="18"/>
  <c r="J25" i="36" s="1"/>
  <c r="C20" i="18"/>
  <c r="I239" i="36" s="1"/>
  <c r="B10" i="6"/>
  <c r="F244" i="4"/>
  <c r="E244" i="4"/>
  <c r="D244" i="4"/>
  <c r="F243" i="4"/>
  <c r="F242" i="4"/>
  <c r="D242" i="4"/>
  <c r="D243" i="4"/>
  <c r="E235" i="4"/>
  <c r="D235" i="4"/>
  <c r="E234" i="4"/>
  <c r="D234" i="4"/>
  <c r="E233" i="4"/>
  <c r="D233" i="4"/>
  <c r="E231" i="4"/>
  <c r="D232" i="4"/>
  <c r="D231" i="4"/>
  <c r="F230" i="4"/>
  <c r="E230" i="4"/>
  <c r="D230" i="4"/>
  <c r="F229" i="4"/>
  <c r="F228" i="4"/>
  <c r="E229" i="4"/>
  <c r="E228" i="4"/>
  <c r="D229" i="4"/>
  <c r="D228" i="4"/>
  <c r="F227" i="4"/>
  <c r="E227" i="4"/>
  <c r="D227" i="4"/>
  <c r="F226" i="4"/>
  <c r="E226" i="4"/>
  <c r="D226" i="4"/>
  <c r="N606" i="1"/>
  <c r="N599" i="1"/>
  <c r="N594" i="1"/>
  <c r="N589" i="1"/>
  <c r="N584" i="1"/>
  <c r="N579" i="1"/>
  <c r="P238" i="36"/>
  <c r="P239" i="36"/>
  <c r="I238" i="36"/>
  <c r="P237" i="36"/>
  <c r="I237" i="36"/>
  <c r="I302" i="36"/>
  <c r="P292" i="36"/>
  <c r="P293" i="36"/>
  <c r="P294" i="36"/>
  <c r="P295" i="36"/>
  <c r="P296" i="36"/>
  <c r="P297" i="36"/>
  <c r="P298" i="36"/>
  <c r="P299" i="36"/>
  <c r="P300" i="36"/>
  <c r="P301" i="36"/>
  <c r="P302" i="36"/>
  <c r="I292" i="36"/>
  <c r="I295" i="36"/>
  <c r="I296" i="36"/>
  <c r="I299" i="36"/>
  <c r="I300" i="36"/>
  <c r="P291" i="36"/>
  <c r="I291" i="36"/>
  <c r="I290" i="36"/>
  <c r="P274" i="36"/>
  <c r="P275" i="36"/>
  <c r="P276" i="36"/>
  <c r="P277" i="36"/>
  <c r="P278" i="36"/>
  <c r="P279" i="36"/>
  <c r="P280" i="36"/>
  <c r="P281" i="36"/>
  <c r="P282" i="36"/>
  <c r="P283" i="36"/>
  <c r="P284" i="36"/>
  <c r="P285" i="36"/>
  <c r="P286" i="36"/>
  <c r="P287" i="36"/>
  <c r="P288" i="36"/>
  <c r="P289" i="36"/>
  <c r="P290" i="36"/>
  <c r="I275" i="36"/>
  <c r="I276" i="36"/>
  <c r="I279" i="36"/>
  <c r="I280" i="36"/>
  <c r="I283" i="36"/>
  <c r="I284" i="36"/>
  <c r="I287" i="36"/>
  <c r="I288" i="36"/>
  <c r="P273" i="36"/>
  <c r="I273" i="36"/>
  <c r="I272" i="36"/>
  <c r="P265" i="36"/>
  <c r="P266" i="36"/>
  <c r="P267" i="36"/>
  <c r="P268" i="36"/>
  <c r="P269" i="36"/>
  <c r="P270" i="36"/>
  <c r="P271" i="36"/>
  <c r="P272" i="36"/>
  <c r="I267" i="36"/>
  <c r="I268" i="36"/>
  <c r="I271" i="36"/>
  <c r="P264" i="36"/>
  <c r="P262" i="36"/>
  <c r="P263" i="36"/>
  <c r="I262" i="36"/>
  <c r="P261" i="36"/>
  <c r="I261" i="36"/>
  <c r="P259" i="36"/>
  <c r="P260" i="36"/>
  <c r="I260" i="36"/>
  <c r="P258" i="36"/>
  <c r="P244" i="36"/>
  <c r="P245" i="36"/>
  <c r="P246" i="36"/>
  <c r="P247" i="36"/>
  <c r="P248" i="36"/>
  <c r="P249" i="36"/>
  <c r="P250" i="36"/>
  <c r="P251" i="36"/>
  <c r="P252" i="36"/>
  <c r="P253" i="36"/>
  <c r="P254" i="36"/>
  <c r="P255" i="36"/>
  <c r="P256" i="36"/>
  <c r="P257" i="36"/>
  <c r="K247" i="36"/>
  <c r="I245" i="36"/>
  <c r="I246" i="36"/>
  <c r="I249" i="36"/>
  <c r="I250" i="36"/>
  <c r="I253" i="36"/>
  <c r="I254" i="36"/>
  <c r="P243" i="36"/>
  <c r="I243" i="36"/>
  <c r="P241" i="36"/>
  <c r="P242" i="36"/>
  <c r="I241" i="36"/>
  <c r="P240" i="36"/>
  <c r="I236" i="36"/>
  <c r="P220" i="36"/>
  <c r="P221" i="36"/>
  <c r="P222" i="36"/>
  <c r="P223" i="36"/>
  <c r="P224" i="36"/>
  <c r="P225" i="36"/>
  <c r="P226" i="36"/>
  <c r="P227" i="36"/>
  <c r="P228" i="36"/>
  <c r="P229" i="36"/>
  <c r="P230" i="36"/>
  <c r="P231" i="36"/>
  <c r="P232" i="36"/>
  <c r="P233" i="36"/>
  <c r="P234" i="36"/>
  <c r="P235" i="36"/>
  <c r="P236" i="36"/>
  <c r="K230" i="36"/>
  <c r="I220" i="36"/>
  <c r="I221" i="36"/>
  <c r="I224" i="36"/>
  <c r="I225" i="36"/>
  <c r="I228" i="36"/>
  <c r="I229" i="36"/>
  <c r="I232" i="36"/>
  <c r="I233" i="36"/>
  <c r="P219" i="36"/>
  <c r="I219" i="36"/>
  <c r="P202" i="36"/>
  <c r="P203" i="36"/>
  <c r="P204" i="36"/>
  <c r="P205" i="36"/>
  <c r="P206" i="36"/>
  <c r="P207" i="36"/>
  <c r="P208" i="36"/>
  <c r="P209" i="36"/>
  <c r="P210" i="36"/>
  <c r="P211" i="36"/>
  <c r="P212" i="36"/>
  <c r="P213" i="36"/>
  <c r="P214" i="36"/>
  <c r="P215" i="36"/>
  <c r="P216" i="36"/>
  <c r="P217" i="36"/>
  <c r="P218" i="36"/>
  <c r="K216" i="36"/>
  <c r="K217" i="36"/>
  <c r="I204" i="36"/>
  <c r="I205" i="36"/>
  <c r="I208" i="36"/>
  <c r="I209" i="36"/>
  <c r="I212" i="36"/>
  <c r="I213" i="36"/>
  <c r="I216" i="36"/>
  <c r="I217" i="36"/>
  <c r="P201" i="36"/>
  <c r="I197" i="36"/>
  <c r="P196" i="36"/>
  <c r="P197" i="36"/>
  <c r="P195" i="36"/>
  <c r="I195" i="36"/>
  <c r="I194" i="36"/>
  <c r="P153" i="36"/>
  <c r="P154" i="36"/>
  <c r="P155" i="36"/>
  <c r="P156" i="36"/>
  <c r="P157" i="36"/>
  <c r="P158" i="36"/>
  <c r="P159" i="36"/>
  <c r="P160" i="36"/>
  <c r="P161" i="36"/>
  <c r="P162" i="36"/>
  <c r="P163" i="36"/>
  <c r="P164" i="36"/>
  <c r="P165" i="36"/>
  <c r="P166" i="36"/>
  <c r="P167" i="36"/>
  <c r="P168" i="36"/>
  <c r="P169" i="36"/>
  <c r="P170" i="36"/>
  <c r="P171" i="36"/>
  <c r="P172" i="36"/>
  <c r="P173" i="36"/>
  <c r="P174" i="36"/>
  <c r="P175" i="36"/>
  <c r="P176" i="36"/>
  <c r="P177" i="36"/>
  <c r="P178" i="36"/>
  <c r="P179" i="36"/>
  <c r="P180" i="36"/>
  <c r="P181" i="36"/>
  <c r="P182" i="36"/>
  <c r="P183" i="36"/>
  <c r="P184" i="36"/>
  <c r="P185" i="36"/>
  <c r="P186" i="36"/>
  <c r="P187" i="36"/>
  <c r="P188" i="36"/>
  <c r="P189" i="36"/>
  <c r="P190" i="36"/>
  <c r="P191" i="36"/>
  <c r="P192" i="36"/>
  <c r="P193" i="36"/>
  <c r="P194" i="36"/>
  <c r="K167" i="36"/>
  <c r="K176" i="36"/>
  <c r="I153" i="36"/>
  <c r="I154" i="36"/>
  <c r="I155" i="36"/>
  <c r="I157" i="36"/>
  <c r="I158" i="36"/>
  <c r="I159" i="36"/>
  <c r="I161" i="36"/>
  <c r="I162" i="36"/>
  <c r="I163" i="36"/>
  <c r="I165" i="36"/>
  <c r="I166" i="36"/>
  <c r="I167" i="36"/>
  <c r="I169" i="36"/>
  <c r="I170" i="36"/>
  <c r="I171" i="36"/>
  <c r="I173" i="36"/>
  <c r="I174" i="36"/>
  <c r="I175" i="36"/>
  <c r="I177" i="36"/>
  <c r="I178" i="36"/>
  <c r="I179" i="36"/>
  <c r="I181" i="36"/>
  <c r="I182" i="36"/>
  <c r="I183" i="36"/>
  <c r="I185" i="36"/>
  <c r="I186" i="36"/>
  <c r="I187" i="36"/>
  <c r="I189" i="36"/>
  <c r="I190" i="36"/>
  <c r="I191" i="36"/>
  <c r="I193" i="36"/>
  <c r="I152" i="36"/>
  <c r="P148" i="36"/>
  <c r="P149" i="36"/>
  <c r="P150" i="36"/>
  <c r="P151" i="36"/>
  <c r="P152" i="36"/>
  <c r="I149" i="36"/>
  <c r="I150" i="36"/>
  <c r="I151" i="36"/>
  <c r="P147" i="36"/>
  <c r="I147" i="36"/>
  <c r="P142" i="36"/>
  <c r="P143" i="36"/>
  <c r="P144" i="36"/>
  <c r="P145" i="36"/>
  <c r="P146" i="36"/>
  <c r="I142" i="36"/>
  <c r="I144" i="36"/>
  <c r="I145" i="36"/>
  <c r="I146" i="36"/>
  <c r="P141" i="36"/>
  <c r="I141" i="36"/>
  <c r="P133" i="36"/>
  <c r="P134" i="36"/>
  <c r="P135" i="36"/>
  <c r="P136" i="36"/>
  <c r="P137" i="36"/>
  <c r="P138" i="36"/>
  <c r="P139" i="36"/>
  <c r="P140" i="36"/>
  <c r="I133" i="36"/>
  <c r="I134" i="36"/>
  <c r="I136" i="36"/>
  <c r="I137" i="36"/>
  <c r="I138" i="36"/>
  <c r="I140" i="36"/>
  <c r="P132" i="36"/>
  <c r="I132" i="36"/>
  <c r="P127" i="36"/>
  <c r="P128" i="36"/>
  <c r="P129" i="36"/>
  <c r="P130" i="36"/>
  <c r="P131" i="36"/>
  <c r="I127" i="36"/>
  <c r="I128" i="36"/>
  <c r="I130" i="36"/>
  <c r="P126" i="36"/>
  <c r="I126" i="36"/>
  <c r="P121" i="36"/>
  <c r="P122" i="36"/>
  <c r="P123" i="36"/>
  <c r="P124" i="36"/>
  <c r="P125" i="36"/>
  <c r="I121" i="36"/>
  <c r="I122" i="36"/>
  <c r="I124" i="36"/>
  <c r="P120" i="36"/>
  <c r="I120" i="36"/>
  <c r="P112" i="36"/>
  <c r="P113" i="36"/>
  <c r="P114" i="36"/>
  <c r="P115" i="36"/>
  <c r="P116" i="36"/>
  <c r="P117" i="36"/>
  <c r="P118" i="36"/>
  <c r="P119" i="36"/>
  <c r="I113" i="36"/>
  <c r="I114" i="36"/>
  <c r="I115" i="36"/>
  <c r="I117" i="36"/>
  <c r="I118" i="36"/>
  <c r="I119" i="36"/>
  <c r="P111" i="36"/>
  <c r="I111" i="36"/>
  <c r="I110" i="36"/>
  <c r="P85" i="36"/>
  <c r="P86" i="36"/>
  <c r="P87" i="36"/>
  <c r="P88" i="36"/>
  <c r="P89" i="36"/>
  <c r="P90" i="36"/>
  <c r="P91" i="36"/>
  <c r="P92" i="36"/>
  <c r="P93" i="36"/>
  <c r="P94" i="36"/>
  <c r="P95" i="36"/>
  <c r="P96" i="36"/>
  <c r="P97" i="36"/>
  <c r="P98" i="36"/>
  <c r="P99" i="36"/>
  <c r="P100" i="36"/>
  <c r="P101" i="36"/>
  <c r="P102" i="36"/>
  <c r="P103" i="36"/>
  <c r="P104" i="36"/>
  <c r="P105" i="36"/>
  <c r="P106" i="36"/>
  <c r="P107" i="36"/>
  <c r="P108" i="36"/>
  <c r="P109" i="36"/>
  <c r="P110" i="36"/>
  <c r="K100" i="36"/>
  <c r="K101" i="36"/>
  <c r="K110" i="36"/>
  <c r="I86" i="36"/>
  <c r="I87" i="36"/>
  <c r="I88" i="36"/>
  <c r="I90" i="36"/>
  <c r="I91" i="36"/>
  <c r="I92" i="36"/>
  <c r="I94" i="36"/>
  <c r="I95" i="36"/>
  <c r="I96" i="36"/>
  <c r="I98" i="36"/>
  <c r="I99" i="36"/>
  <c r="I100" i="36"/>
  <c r="I102" i="36"/>
  <c r="I103" i="36"/>
  <c r="I104" i="36"/>
  <c r="I106" i="36"/>
  <c r="I107" i="36"/>
  <c r="I108" i="36"/>
  <c r="P84" i="36"/>
  <c r="I84" i="36"/>
  <c r="P79" i="36"/>
  <c r="P80" i="36"/>
  <c r="P81" i="36"/>
  <c r="P82" i="36"/>
  <c r="P83" i="36"/>
  <c r="I80" i="36"/>
  <c r="I81" i="36"/>
  <c r="I82" i="36"/>
  <c r="P78" i="36"/>
  <c r="I78" i="36"/>
  <c r="I77" i="36"/>
  <c r="P55" i="36"/>
  <c r="P56" i="36"/>
  <c r="P57" i="36"/>
  <c r="P58" i="36"/>
  <c r="P59" i="36"/>
  <c r="P60" i="36"/>
  <c r="P61" i="36"/>
  <c r="P62" i="36"/>
  <c r="P63" i="36"/>
  <c r="P64" i="36"/>
  <c r="P65" i="36"/>
  <c r="P66" i="36"/>
  <c r="P67" i="36"/>
  <c r="P68" i="36"/>
  <c r="P69" i="36"/>
  <c r="P70" i="36"/>
  <c r="P71" i="36"/>
  <c r="P72" i="36"/>
  <c r="P73" i="36"/>
  <c r="P74" i="36"/>
  <c r="P75" i="36"/>
  <c r="P76" i="36"/>
  <c r="P77" i="36"/>
  <c r="K65" i="36"/>
  <c r="J56" i="36"/>
  <c r="J58" i="36"/>
  <c r="I55" i="36"/>
  <c r="I56" i="36"/>
  <c r="I58" i="36"/>
  <c r="I59" i="36"/>
  <c r="I60" i="36"/>
  <c r="I62" i="36"/>
  <c r="I63" i="36"/>
  <c r="I64" i="36"/>
  <c r="I66" i="36"/>
  <c r="I67" i="36"/>
  <c r="I68" i="36"/>
  <c r="I70" i="36"/>
  <c r="I71" i="36"/>
  <c r="I72" i="36"/>
  <c r="I74" i="36"/>
  <c r="I75" i="36"/>
  <c r="I76" i="36"/>
  <c r="P54" i="36"/>
  <c r="I54" i="36"/>
  <c r="P49" i="36"/>
  <c r="P50" i="36"/>
  <c r="P51" i="36"/>
  <c r="P52" i="36"/>
  <c r="P53" i="36"/>
  <c r="I49" i="36"/>
  <c r="I51" i="36"/>
  <c r="I52" i="36"/>
  <c r="I53" i="36"/>
  <c r="P48" i="36"/>
  <c r="I48" i="36"/>
  <c r="P43" i="36"/>
  <c r="P44" i="36"/>
  <c r="P45" i="36"/>
  <c r="P46" i="36"/>
  <c r="P47" i="36"/>
  <c r="I43" i="36"/>
  <c r="I45" i="36"/>
  <c r="I46" i="36"/>
  <c r="I47" i="36"/>
  <c r="P42" i="36"/>
  <c r="I42" i="36"/>
  <c r="P40" i="36"/>
  <c r="P41" i="36"/>
  <c r="K41" i="36"/>
  <c r="J41" i="36"/>
  <c r="I40" i="36"/>
  <c r="I41" i="36"/>
  <c r="P39" i="36"/>
  <c r="I39" i="36"/>
  <c r="P31" i="36"/>
  <c r="P32" i="36"/>
  <c r="P33" i="36"/>
  <c r="P34" i="36"/>
  <c r="P35" i="36"/>
  <c r="P36" i="36"/>
  <c r="P37" i="36"/>
  <c r="P38" i="36"/>
  <c r="K33" i="36"/>
  <c r="K38" i="36"/>
  <c r="I32" i="36"/>
  <c r="I33" i="36"/>
  <c r="I34" i="36"/>
  <c r="I36" i="36"/>
  <c r="I37" i="36"/>
  <c r="I38" i="36"/>
  <c r="P30" i="36"/>
  <c r="I30" i="36"/>
  <c r="P22" i="36"/>
  <c r="P23" i="36"/>
  <c r="P24" i="36"/>
  <c r="P25" i="36"/>
  <c r="P26" i="36"/>
  <c r="P27" i="36"/>
  <c r="P28" i="36"/>
  <c r="P29" i="36"/>
  <c r="J28" i="36"/>
  <c r="I22" i="36"/>
  <c r="I24" i="36"/>
  <c r="I25" i="36"/>
  <c r="I26" i="36"/>
  <c r="I28" i="36"/>
  <c r="I29" i="36"/>
  <c r="P21" i="36"/>
  <c r="P16" i="36"/>
  <c r="P17" i="36"/>
  <c r="P18" i="36"/>
  <c r="P19" i="36"/>
  <c r="P20" i="36"/>
  <c r="K18" i="36"/>
  <c r="I20" i="36"/>
  <c r="I17" i="36"/>
  <c r="I18" i="36"/>
  <c r="I19" i="36"/>
  <c r="P15" i="36"/>
  <c r="I15" i="36"/>
  <c r="I3" i="36"/>
  <c r="P4" i="36"/>
  <c r="P5" i="36"/>
  <c r="P6" i="36"/>
  <c r="P7" i="36"/>
  <c r="P8" i="36"/>
  <c r="P9" i="36"/>
  <c r="P10" i="36"/>
  <c r="P11" i="36"/>
  <c r="P12" i="36"/>
  <c r="P13" i="36"/>
  <c r="P14" i="36"/>
  <c r="P3" i="36"/>
  <c r="J5" i="36"/>
  <c r="J10" i="36"/>
  <c r="I4" i="36"/>
  <c r="I5" i="36"/>
  <c r="I6" i="36"/>
  <c r="I7" i="36"/>
  <c r="I8" i="36"/>
  <c r="I9" i="36"/>
  <c r="I10" i="36"/>
  <c r="I11" i="36"/>
  <c r="I12" i="36"/>
  <c r="I13" i="36"/>
  <c r="I14" i="36"/>
  <c r="I2" i="36"/>
  <c r="B243" i="36"/>
  <c r="B195" i="36"/>
  <c r="B30" i="36"/>
  <c r="B21" i="36"/>
  <c r="B15" i="36"/>
  <c r="B3" i="36"/>
  <c r="H96" i="1"/>
  <c r="H97" i="1"/>
  <c r="H98" i="1"/>
  <c r="H99" i="1"/>
  <c r="H100" i="1"/>
  <c r="H101" i="1"/>
  <c r="H102" i="1"/>
  <c r="H103" i="1"/>
  <c r="H104" i="1"/>
  <c r="H105" i="1"/>
  <c r="H106" i="1"/>
  <c r="H107" i="1"/>
  <c r="H108" i="1"/>
  <c r="B258" i="36"/>
  <c r="B261" i="36"/>
  <c r="B264" i="36"/>
  <c r="B273" i="36"/>
  <c r="B291" i="36"/>
  <c r="B237" i="36"/>
  <c r="B201" i="36"/>
  <c r="B219" i="36"/>
  <c r="B240" i="36"/>
  <c r="B84" i="36"/>
  <c r="B111" i="36"/>
  <c r="B132" i="36"/>
  <c r="B141" i="36"/>
  <c r="B39" i="36"/>
  <c r="B42" i="36"/>
  <c r="B48" i="36"/>
  <c r="C3" i="36"/>
  <c r="D3" i="36"/>
  <c r="D238" i="36"/>
  <c r="D237" i="36"/>
  <c r="E237" i="36" s="1"/>
  <c r="D302" i="36"/>
  <c r="D300" i="36"/>
  <c r="D299" i="36"/>
  <c r="D297" i="36"/>
  <c r="D296" i="36"/>
  <c r="D295" i="36"/>
  <c r="D294" i="36"/>
  <c r="E294" i="36" s="1"/>
  <c r="D293" i="36"/>
  <c r="D292" i="36"/>
  <c r="D291" i="36"/>
  <c r="D290" i="36"/>
  <c r="D289" i="36"/>
  <c r="D288" i="36"/>
  <c r="E288" i="36" s="1"/>
  <c r="D287" i="36"/>
  <c r="D286" i="36"/>
  <c r="D285" i="36"/>
  <c r="D284" i="36"/>
  <c r="D283" i="36"/>
  <c r="D282" i="36"/>
  <c r="D281" i="36"/>
  <c r="D280" i="36"/>
  <c r="D279" i="36"/>
  <c r="D278" i="36"/>
  <c r="D277" i="36"/>
  <c r="D276" i="36"/>
  <c r="D275" i="36"/>
  <c r="D274" i="36"/>
  <c r="D273" i="36"/>
  <c r="D272" i="36"/>
  <c r="D271" i="36"/>
  <c r="D270" i="36"/>
  <c r="D269" i="36"/>
  <c r="D268" i="36"/>
  <c r="D267" i="36"/>
  <c r="D266" i="36"/>
  <c r="D265" i="36"/>
  <c r="D264" i="36"/>
  <c r="D263" i="36"/>
  <c r="D262" i="36"/>
  <c r="D261" i="36"/>
  <c r="D260" i="36"/>
  <c r="D259" i="36"/>
  <c r="D258" i="36"/>
  <c r="D257" i="36"/>
  <c r="D255" i="36"/>
  <c r="D252" i="36"/>
  <c r="D251" i="36"/>
  <c r="D249" i="36"/>
  <c r="E249" i="36" s="1"/>
  <c r="D248" i="36"/>
  <c r="D246" i="36"/>
  <c r="E246" i="36" s="1"/>
  <c r="D245" i="36"/>
  <c r="D243" i="36"/>
  <c r="E243" i="36" s="1"/>
  <c r="D242" i="36"/>
  <c r="D240" i="36"/>
  <c r="E240" i="36" s="1"/>
  <c r="D236" i="36"/>
  <c r="D235" i="36"/>
  <c r="D234" i="36"/>
  <c r="D233" i="36"/>
  <c r="D232" i="36"/>
  <c r="D231" i="36"/>
  <c r="D230" i="36"/>
  <c r="D229" i="36"/>
  <c r="D228" i="36"/>
  <c r="D227" i="36"/>
  <c r="D226" i="36"/>
  <c r="D225" i="36"/>
  <c r="E225" i="36" s="1"/>
  <c r="D224" i="36"/>
  <c r="D223" i="36"/>
  <c r="D222" i="36"/>
  <c r="E222" i="36" s="1"/>
  <c r="D221" i="36"/>
  <c r="D220" i="36"/>
  <c r="D219" i="36"/>
  <c r="E219" i="36" s="1"/>
  <c r="D218" i="36"/>
  <c r="D217" i="36"/>
  <c r="D216" i="36"/>
  <c r="E216" i="36" s="1"/>
  <c r="D213" i="36"/>
  <c r="E213" i="36" s="1"/>
  <c r="D212" i="36"/>
  <c r="D211" i="36"/>
  <c r="D210" i="36"/>
  <c r="E210" i="36" s="1"/>
  <c r="D207" i="36"/>
  <c r="E207" i="36" s="1"/>
  <c r="D204" i="36"/>
  <c r="E204" i="36" s="1"/>
  <c r="D201" i="36"/>
  <c r="E201" i="36" s="1"/>
  <c r="D193" i="36"/>
  <c r="D192" i="36"/>
  <c r="D191" i="36"/>
  <c r="D190" i="36"/>
  <c r="D189" i="36"/>
  <c r="E189" i="36" s="1"/>
  <c r="D188" i="36"/>
  <c r="D187" i="36"/>
  <c r="D186" i="36"/>
  <c r="E186" i="36" s="1"/>
  <c r="D183" i="36"/>
  <c r="E183" i="36" s="1"/>
  <c r="D180" i="36"/>
  <c r="E180" i="36" s="1"/>
  <c r="D179" i="36"/>
  <c r="D178" i="36"/>
  <c r="D177" i="36"/>
  <c r="D176" i="36"/>
  <c r="D175" i="36"/>
  <c r="D174" i="36"/>
  <c r="D173" i="36"/>
  <c r="D172" i="36"/>
  <c r="D171" i="36"/>
  <c r="E171" i="36" s="1"/>
  <c r="D170" i="36"/>
  <c r="D169" i="36"/>
  <c r="D168" i="36"/>
  <c r="E168" i="36" s="1"/>
  <c r="D167" i="36"/>
  <c r="D166" i="36"/>
  <c r="D165" i="36"/>
  <c r="D164" i="36"/>
  <c r="D163" i="36"/>
  <c r="D162" i="36"/>
  <c r="D161" i="36"/>
  <c r="D160" i="36"/>
  <c r="D159" i="36"/>
  <c r="E159" i="36" s="1"/>
  <c r="D158" i="36"/>
  <c r="D157" i="36"/>
  <c r="D156" i="36"/>
  <c r="D155" i="36"/>
  <c r="D154" i="36"/>
  <c r="D153" i="36"/>
  <c r="E153" i="36" s="1"/>
  <c r="D152" i="36"/>
  <c r="D151" i="36"/>
  <c r="D150" i="36"/>
  <c r="D149" i="36"/>
  <c r="D148" i="36"/>
  <c r="D147" i="36"/>
  <c r="D146" i="36"/>
  <c r="D145" i="36"/>
  <c r="D144" i="36"/>
  <c r="D143" i="36"/>
  <c r="D142" i="36"/>
  <c r="D141" i="36"/>
  <c r="D140" i="36"/>
  <c r="D139" i="36"/>
  <c r="D138" i="36"/>
  <c r="E138" i="36" s="1"/>
  <c r="D137" i="36"/>
  <c r="D136" i="36"/>
  <c r="D135" i="36"/>
  <c r="E135" i="36" s="1"/>
  <c r="D134" i="36"/>
  <c r="D133" i="36"/>
  <c r="D132" i="36"/>
  <c r="E132" i="36" s="1"/>
  <c r="D131" i="36"/>
  <c r="D130" i="36"/>
  <c r="D129" i="36"/>
  <c r="E129" i="36" s="1"/>
  <c r="D128" i="36"/>
  <c r="D127" i="36"/>
  <c r="D126" i="36"/>
  <c r="D125" i="36"/>
  <c r="D124" i="36"/>
  <c r="D123" i="36"/>
  <c r="D122" i="36"/>
  <c r="D121" i="36"/>
  <c r="D120" i="36"/>
  <c r="E120" i="36" s="1"/>
  <c r="O231" i="1"/>
  <c r="D119" i="36"/>
  <c r="D117" i="36"/>
  <c r="D116" i="36"/>
  <c r="D115" i="36"/>
  <c r="D114" i="36"/>
  <c r="E114" i="36" s="1"/>
  <c r="D113" i="36"/>
  <c r="D112" i="36"/>
  <c r="D111" i="36"/>
  <c r="O215" i="1"/>
  <c r="P215" i="1" s="1"/>
  <c r="D109" i="36"/>
  <c r="D108" i="36"/>
  <c r="E108" i="36" s="1"/>
  <c r="D107" i="36"/>
  <c r="D106" i="36"/>
  <c r="D105" i="36"/>
  <c r="D104" i="36"/>
  <c r="D103" i="36"/>
  <c r="D102" i="36"/>
  <c r="E102" i="36" s="1"/>
  <c r="D101" i="36"/>
  <c r="D99" i="36"/>
  <c r="E99" i="36" s="1"/>
  <c r="D98" i="36"/>
  <c r="D97" i="36"/>
  <c r="D96" i="36"/>
  <c r="D95" i="36"/>
  <c r="D94" i="36"/>
  <c r="D93" i="36"/>
  <c r="D91" i="36"/>
  <c r="D90" i="36"/>
  <c r="D89" i="36"/>
  <c r="D88" i="36"/>
  <c r="D87" i="36"/>
  <c r="E87" i="36" s="1"/>
  <c r="D84" i="36"/>
  <c r="E84" i="36" s="1"/>
  <c r="D83" i="36"/>
  <c r="D82" i="36"/>
  <c r="D81" i="36"/>
  <c r="E81" i="36" s="1"/>
  <c r="D80" i="36"/>
  <c r="D79" i="36"/>
  <c r="D78" i="36"/>
  <c r="D77" i="36"/>
  <c r="D76" i="36"/>
  <c r="D75" i="36"/>
  <c r="E75" i="36" s="1"/>
  <c r="D74" i="36"/>
  <c r="D73" i="36"/>
  <c r="D72" i="36"/>
  <c r="E72" i="36" s="1"/>
  <c r="D69" i="36"/>
  <c r="E69" i="36" s="1"/>
  <c r="D68" i="36"/>
  <c r="D67" i="36"/>
  <c r="D66" i="36"/>
  <c r="D65" i="36"/>
  <c r="D64" i="36"/>
  <c r="D63" i="36"/>
  <c r="E63" i="36" s="1"/>
  <c r="D62" i="36"/>
  <c r="D61" i="36"/>
  <c r="D60" i="36"/>
  <c r="E60" i="36" s="1"/>
  <c r="D57" i="36"/>
  <c r="E57" i="36" s="1"/>
  <c r="D56" i="36"/>
  <c r="D55" i="36"/>
  <c r="D54" i="36"/>
  <c r="D53" i="36"/>
  <c r="D52" i="36"/>
  <c r="D51" i="36"/>
  <c r="D48" i="36"/>
  <c r="E48" i="36" s="1"/>
  <c r="D47" i="36"/>
  <c r="D45" i="36"/>
  <c r="D44" i="36"/>
  <c r="D43" i="36"/>
  <c r="D42" i="36"/>
  <c r="E42" i="36" s="1"/>
  <c r="D41" i="36"/>
  <c r="D40" i="36"/>
  <c r="D39" i="36"/>
  <c r="D38" i="36"/>
  <c r="D37" i="36"/>
  <c r="D36" i="36"/>
  <c r="D35" i="36"/>
  <c r="D34" i="36"/>
  <c r="D33" i="36"/>
  <c r="E33" i="36" s="1"/>
  <c r="D32" i="36"/>
  <c r="D31" i="36"/>
  <c r="D30" i="36"/>
  <c r="E30" i="36" s="1"/>
  <c r="D29" i="36"/>
  <c r="D28" i="36"/>
  <c r="D27" i="36"/>
  <c r="D26" i="36"/>
  <c r="D25" i="36"/>
  <c r="D24" i="36"/>
  <c r="E24" i="36" s="1"/>
  <c r="D23" i="36"/>
  <c r="D22" i="36"/>
  <c r="D21" i="36"/>
  <c r="D20" i="36"/>
  <c r="D19" i="36"/>
  <c r="D18" i="36"/>
  <c r="E18" i="36" s="1"/>
  <c r="D16" i="36"/>
  <c r="D15" i="36"/>
  <c r="E15" i="36" s="1"/>
  <c r="D14" i="36"/>
  <c r="D13" i="36"/>
  <c r="D12" i="36"/>
  <c r="D11" i="36"/>
  <c r="D10" i="36"/>
  <c r="D9" i="36"/>
  <c r="E9" i="36" s="1"/>
  <c r="D8" i="36"/>
  <c r="D7" i="36"/>
  <c r="D6" i="36"/>
  <c r="D5" i="36"/>
  <c r="D4" i="36"/>
  <c r="I133" i="35"/>
  <c r="C133" i="35"/>
  <c r="I132" i="35"/>
  <c r="I170" i="35"/>
  <c r="C170" i="35"/>
  <c r="I169" i="35"/>
  <c r="C169" i="35"/>
  <c r="I168" i="35"/>
  <c r="C168" i="35"/>
  <c r="I167" i="35"/>
  <c r="C167" i="35"/>
  <c r="I166" i="35"/>
  <c r="I164" i="35"/>
  <c r="C164" i="35"/>
  <c r="I163" i="35"/>
  <c r="C163" i="35"/>
  <c r="I162" i="35"/>
  <c r="C162" i="35"/>
  <c r="I161" i="35"/>
  <c r="C161" i="35"/>
  <c r="I160" i="35"/>
  <c r="C160" i="35"/>
  <c r="I159" i="35"/>
  <c r="C159" i="35"/>
  <c r="I158" i="35"/>
  <c r="I156" i="35"/>
  <c r="C156" i="35"/>
  <c r="I155" i="35"/>
  <c r="C155" i="35"/>
  <c r="I154" i="35"/>
  <c r="C154" i="35"/>
  <c r="I153" i="35"/>
  <c r="I151" i="35"/>
  <c r="C151" i="35"/>
  <c r="I150" i="35"/>
  <c r="I148" i="35"/>
  <c r="C148" i="35"/>
  <c r="I147" i="35"/>
  <c r="I145" i="35"/>
  <c r="C145" i="35"/>
  <c r="I144" i="35"/>
  <c r="C144" i="35"/>
  <c r="I143" i="35"/>
  <c r="C143" i="35"/>
  <c r="I142" i="35"/>
  <c r="C142" i="35"/>
  <c r="I141" i="35"/>
  <c r="C141" i="35"/>
  <c r="I140" i="35"/>
  <c r="I138" i="35"/>
  <c r="C138" i="35"/>
  <c r="I137" i="35"/>
  <c r="I131" i="35"/>
  <c r="C131" i="35"/>
  <c r="I130" i="35"/>
  <c r="C130" i="35"/>
  <c r="I129" i="35"/>
  <c r="C129" i="35"/>
  <c r="I128" i="35"/>
  <c r="C128" i="35"/>
  <c r="I127" i="35"/>
  <c r="C127" i="35"/>
  <c r="I126" i="35"/>
  <c r="C126" i="35"/>
  <c r="I125" i="35"/>
  <c r="I123" i="35"/>
  <c r="C123" i="35"/>
  <c r="I122" i="35"/>
  <c r="C122" i="35"/>
  <c r="I121" i="35"/>
  <c r="I120" i="35"/>
  <c r="C120" i="35"/>
  <c r="I119" i="35"/>
  <c r="C119" i="35"/>
  <c r="I118" i="35"/>
  <c r="C118" i="35"/>
  <c r="I117" i="35"/>
  <c r="C117" i="35"/>
  <c r="I116" i="35"/>
  <c r="I112" i="35"/>
  <c r="I108" i="35"/>
  <c r="C108" i="35"/>
  <c r="I107" i="35"/>
  <c r="I106" i="35"/>
  <c r="C106" i="35"/>
  <c r="I105" i="35"/>
  <c r="C105" i="35"/>
  <c r="I104" i="35"/>
  <c r="C104" i="35"/>
  <c r="I103" i="35"/>
  <c r="C103" i="35"/>
  <c r="I102" i="35"/>
  <c r="C102" i="35"/>
  <c r="I101" i="35"/>
  <c r="C101" i="35"/>
  <c r="I100" i="35"/>
  <c r="C100" i="35"/>
  <c r="I99" i="35"/>
  <c r="C99" i="35"/>
  <c r="I98" i="35"/>
  <c r="C98" i="35"/>
  <c r="I97" i="35"/>
  <c r="C97" i="35"/>
  <c r="I96" i="35"/>
  <c r="C96" i="35"/>
  <c r="I95" i="35"/>
  <c r="C95" i="35"/>
  <c r="I94" i="35"/>
  <c r="C94" i="35"/>
  <c r="I93" i="35"/>
  <c r="I91" i="35"/>
  <c r="I90" i="35"/>
  <c r="C90" i="35"/>
  <c r="I89" i="35"/>
  <c r="I87" i="35"/>
  <c r="C87" i="35"/>
  <c r="I86" i="35"/>
  <c r="C86" i="35"/>
  <c r="I85" i="35"/>
  <c r="I83" i="35"/>
  <c r="C83" i="35"/>
  <c r="I82" i="35"/>
  <c r="C82" i="35"/>
  <c r="I81" i="35"/>
  <c r="C81" i="35"/>
  <c r="I80" i="35"/>
  <c r="I78" i="35"/>
  <c r="C78" i="35"/>
  <c r="I77" i="35"/>
  <c r="C77" i="35"/>
  <c r="I76" i="35"/>
  <c r="I74" i="35"/>
  <c r="C74" i="35"/>
  <c r="I73" i="35"/>
  <c r="C73" i="35"/>
  <c r="I72" i="35"/>
  <c r="I70" i="35"/>
  <c r="C70" i="35"/>
  <c r="I69" i="35"/>
  <c r="C69" i="35"/>
  <c r="I68" i="35"/>
  <c r="C68" i="35"/>
  <c r="I67" i="35"/>
  <c r="I65" i="35"/>
  <c r="C65" i="35"/>
  <c r="I64" i="35"/>
  <c r="C64" i="35"/>
  <c r="I63" i="35"/>
  <c r="C63" i="35"/>
  <c r="I62" i="35"/>
  <c r="C62" i="35"/>
  <c r="I61" i="35"/>
  <c r="I60" i="35"/>
  <c r="C60" i="35"/>
  <c r="I59" i="35"/>
  <c r="C59" i="35"/>
  <c r="I58" i="35"/>
  <c r="C58" i="35"/>
  <c r="I57" i="35"/>
  <c r="C57" i="35"/>
  <c r="I56" i="35"/>
  <c r="C56" i="35"/>
  <c r="I55" i="35"/>
  <c r="I51" i="35"/>
  <c r="C51" i="35"/>
  <c r="I50" i="35"/>
  <c r="C50" i="35"/>
  <c r="I49" i="35"/>
  <c r="I47" i="35"/>
  <c r="C47" i="35"/>
  <c r="I46" i="35"/>
  <c r="C46" i="35"/>
  <c r="I45" i="35"/>
  <c r="C45" i="35"/>
  <c r="I44" i="35"/>
  <c r="C44" i="35"/>
  <c r="I43" i="35"/>
  <c r="C43" i="35"/>
  <c r="I42" i="35"/>
  <c r="C42" i="35"/>
  <c r="I41" i="35"/>
  <c r="C41" i="35"/>
  <c r="I40" i="35"/>
  <c r="C40" i="35"/>
  <c r="I39" i="35"/>
  <c r="I37" i="35"/>
  <c r="C37" i="35"/>
  <c r="I36" i="35"/>
  <c r="C36" i="35"/>
  <c r="I35" i="35"/>
  <c r="I31" i="35"/>
  <c r="C31" i="35"/>
  <c r="I30" i="35"/>
  <c r="C30" i="35"/>
  <c r="I29" i="35"/>
  <c r="I27" i="35"/>
  <c r="C27" i="35"/>
  <c r="I26" i="35"/>
  <c r="I24" i="35"/>
  <c r="C24" i="35"/>
  <c r="I23" i="35"/>
  <c r="C23" i="35"/>
  <c r="I22" i="35"/>
  <c r="C22" i="35"/>
  <c r="I21" i="35"/>
  <c r="C21" i="35"/>
  <c r="I20" i="35"/>
  <c r="I18" i="35"/>
  <c r="C18" i="35"/>
  <c r="I17" i="35"/>
  <c r="C17" i="35"/>
  <c r="I16" i="35"/>
  <c r="C16" i="35"/>
  <c r="I15" i="35"/>
  <c r="I13" i="35"/>
  <c r="C13" i="35"/>
  <c r="I12" i="35"/>
  <c r="C12" i="35"/>
  <c r="I11" i="35"/>
  <c r="I9" i="35"/>
  <c r="C9" i="35"/>
  <c r="I8" i="35"/>
  <c r="C8" i="35"/>
  <c r="I7" i="35"/>
  <c r="C7" i="35"/>
  <c r="I6" i="35"/>
  <c r="C6" i="35"/>
  <c r="I5" i="35"/>
  <c r="H133" i="35"/>
  <c r="G133" i="35"/>
  <c r="F133" i="35"/>
  <c r="E133" i="35"/>
  <c r="D133" i="35"/>
  <c r="A133" i="35"/>
  <c r="A132" i="35"/>
  <c r="H170" i="35"/>
  <c r="G170" i="35"/>
  <c r="F170" i="35"/>
  <c r="E170" i="35"/>
  <c r="D170" i="35"/>
  <c r="A170" i="35"/>
  <c r="H169" i="35"/>
  <c r="G169" i="35"/>
  <c r="F169" i="35"/>
  <c r="E169" i="35"/>
  <c r="D169" i="35"/>
  <c r="A169" i="35"/>
  <c r="H168" i="35"/>
  <c r="G168" i="35"/>
  <c r="F168" i="35"/>
  <c r="E168" i="35"/>
  <c r="D168" i="35"/>
  <c r="A168" i="35"/>
  <c r="H167" i="35"/>
  <c r="G167" i="35"/>
  <c r="F167" i="35"/>
  <c r="E167" i="35"/>
  <c r="D167" i="35"/>
  <c r="A167" i="35"/>
  <c r="A166" i="35"/>
  <c r="H164" i="35"/>
  <c r="G164" i="35"/>
  <c r="F164" i="35"/>
  <c r="E164" i="35"/>
  <c r="D164" i="35"/>
  <c r="A164" i="35"/>
  <c r="H163" i="35"/>
  <c r="G163" i="35"/>
  <c r="F163" i="35"/>
  <c r="E163" i="35"/>
  <c r="D163" i="35"/>
  <c r="A163" i="35"/>
  <c r="H162" i="35"/>
  <c r="G162" i="35"/>
  <c r="F162" i="35"/>
  <c r="E162" i="35"/>
  <c r="D162" i="35"/>
  <c r="A162" i="35"/>
  <c r="H161" i="35"/>
  <c r="G161" i="35"/>
  <c r="F161" i="35"/>
  <c r="E161" i="35"/>
  <c r="D161" i="35"/>
  <c r="A161" i="35"/>
  <c r="H160" i="35"/>
  <c r="G160" i="35"/>
  <c r="F160" i="35"/>
  <c r="E160" i="35"/>
  <c r="D160" i="35"/>
  <c r="A160" i="35"/>
  <c r="H159" i="35"/>
  <c r="G159" i="35"/>
  <c r="F159" i="35"/>
  <c r="E159" i="35"/>
  <c r="D159" i="35"/>
  <c r="A159" i="35"/>
  <c r="A158" i="35"/>
  <c r="H156" i="35"/>
  <c r="G156" i="35"/>
  <c r="F156" i="35"/>
  <c r="E156" i="35"/>
  <c r="D156" i="35"/>
  <c r="A156" i="35"/>
  <c r="H155" i="35"/>
  <c r="G155" i="35"/>
  <c r="F155" i="35"/>
  <c r="E155" i="35"/>
  <c r="D155" i="35"/>
  <c r="A155" i="35"/>
  <c r="H154" i="35"/>
  <c r="G154" i="35"/>
  <c r="F154" i="35"/>
  <c r="E154" i="35"/>
  <c r="D154" i="35"/>
  <c r="A154" i="35"/>
  <c r="A153" i="35"/>
  <c r="H151" i="35"/>
  <c r="G151" i="35"/>
  <c r="F151" i="35"/>
  <c r="E151" i="35"/>
  <c r="D151" i="35"/>
  <c r="A151" i="35"/>
  <c r="A150" i="35"/>
  <c r="H148" i="35"/>
  <c r="G148" i="35"/>
  <c r="F148" i="35"/>
  <c r="E148" i="35"/>
  <c r="D148" i="35"/>
  <c r="A148" i="35"/>
  <c r="A147" i="35"/>
  <c r="H145" i="35"/>
  <c r="G145" i="35"/>
  <c r="F145" i="35"/>
  <c r="E145" i="35"/>
  <c r="D145" i="35"/>
  <c r="A145" i="35"/>
  <c r="H144" i="35"/>
  <c r="G144" i="35"/>
  <c r="F144" i="35"/>
  <c r="E144" i="35"/>
  <c r="D144" i="35"/>
  <c r="A144" i="35"/>
  <c r="H143" i="35"/>
  <c r="G143" i="35"/>
  <c r="F143" i="35"/>
  <c r="E143" i="35"/>
  <c r="D143" i="35"/>
  <c r="A143" i="35"/>
  <c r="H142" i="35"/>
  <c r="G142" i="35"/>
  <c r="F142" i="35"/>
  <c r="E142" i="35"/>
  <c r="D142" i="35"/>
  <c r="A142" i="35"/>
  <c r="H141" i="35"/>
  <c r="G141" i="35"/>
  <c r="F141" i="35"/>
  <c r="E141" i="35"/>
  <c r="D141" i="35"/>
  <c r="A141" i="35"/>
  <c r="A140" i="35"/>
  <c r="H138" i="35"/>
  <c r="G138" i="35"/>
  <c r="F138" i="35"/>
  <c r="E138" i="35"/>
  <c r="D138" i="35"/>
  <c r="A138" i="35"/>
  <c r="A137" i="35"/>
  <c r="K136" i="35"/>
  <c r="J136" i="35"/>
  <c r="I136" i="35"/>
  <c r="H136" i="35"/>
  <c r="G136" i="35"/>
  <c r="F136" i="35"/>
  <c r="E136" i="35"/>
  <c r="D136" i="35"/>
  <c r="C136" i="35"/>
  <c r="A136" i="35"/>
  <c r="A135" i="35"/>
  <c r="H131" i="35"/>
  <c r="G131" i="35"/>
  <c r="F131" i="35"/>
  <c r="E131" i="35"/>
  <c r="D131" i="35"/>
  <c r="A131" i="35"/>
  <c r="H130" i="35"/>
  <c r="G130" i="35"/>
  <c r="F130" i="35"/>
  <c r="E130" i="35"/>
  <c r="D130" i="35"/>
  <c r="A130" i="35"/>
  <c r="H129" i="35"/>
  <c r="G129" i="35"/>
  <c r="F129" i="35"/>
  <c r="E129" i="35"/>
  <c r="D129" i="35"/>
  <c r="A129" i="35"/>
  <c r="H128" i="35"/>
  <c r="G128" i="35"/>
  <c r="F128" i="35"/>
  <c r="E128" i="35"/>
  <c r="D128" i="35"/>
  <c r="A128" i="35"/>
  <c r="H127" i="35"/>
  <c r="G127" i="35"/>
  <c r="F127" i="35"/>
  <c r="E127" i="35"/>
  <c r="D127" i="35"/>
  <c r="A127" i="35"/>
  <c r="H126" i="35"/>
  <c r="G126" i="35"/>
  <c r="F126" i="35"/>
  <c r="E126" i="35"/>
  <c r="D126" i="35"/>
  <c r="A126" i="35"/>
  <c r="A125" i="35"/>
  <c r="H123" i="35"/>
  <c r="G123" i="35"/>
  <c r="F123" i="35"/>
  <c r="E123" i="35"/>
  <c r="D123" i="35"/>
  <c r="A123" i="35"/>
  <c r="H122" i="35"/>
  <c r="G122" i="35"/>
  <c r="F122" i="35"/>
  <c r="E122" i="35"/>
  <c r="D122" i="35"/>
  <c r="A122" i="35"/>
  <c r="H120" i="35"/>
  <c r="G120" i="35"/>
  <c r="F120" i="35"/>
  <c r="E120" i="35"/>
  <c r="D120" i="35"/>
  <c r="A120" i="35"/>
  <c r="H119" i="35"/>
  <c r="G119" i="35"/>
  <c r="F119" i="35"/>
  <c r="E119" i="35"/>
  <c r="D119" i="35"/>
  <c r="A119" i="35"/>
  <c r="H118" i="35"/>
  <c r="G118" i="35"/>
  <c r="F118" i="35"/>
  <c r="E118" i="35"/>
  <c r="D118" i="35"/>
  <c r="A118" i="35"/>
  <c r="H117" i="35"/>
  <c r="G117" i="35"/>
  <c r="F117" i="35"/>
  <c r="E117" i="35"/>
  <c r="D117" i="35"/>
  <c r="A117" i="35"/>
  <c r="A116" i="35"/>
  <c r="H113" i="35"/>
  <c r="G113" i="35"/>
  <c r="F113" i="35"/>
  <c r="E113" i="35"/>
  <c r="D113" i="35"/>
  <c r="A113" i="35"/>
  <c r="A112" i="35"/>
  <c r="K111" i="35"/>
  <c r="J111" i="35"/>
  <c r="I111" i="35"/>
  <c r="H111" i="35"/>
  <c r="G111" i="35"/>
  <c r="F111" i="35"/>
  <c r="E111" i="35"/>
  <c r="D111" i="35"/>
  <c r="C111" i="35"/>
  <c r="A111" i="35"/>
  <c r="A110" i="35"/>
  <c r="H108" i="35"/>
  <c r="G108" i="35"/>
  <c r="F108" i="35"/>
  <c r="E108" i="35"/>
  <c r="D108" i="35"/>
  <c r="H106" i="35"/>
  <c r="G106" i="35"/>
  <c r="F106" i="35"/>
  <c r="E106" i="35"/>
  <c r="D106" i="35"/>
  <c r="H105" i="35"/>
  <c r="G105" i="35"/>
  <c r="F105" i="35"/>
  <c r="E105" i="35"/>
  <c r="D105" i="35"/>
  <c r="H104" i="35"/>
  <c r="G104" i="35"/>
  <c r="F104" i="35"/>
  <c r="E104" i="35"/>
  <c r="D104" i="35"/>
  <c r="H103" i="35"/>
  <c r="G103" i="35"/>
  <c r="F103" i="35"/>
  <c r="E103" i="35"/>
  <c r="D103" i="35"/>
  <c r="H102" i="35"/>
  <c r="G102" i="35"/>
  <c r="F102" i="35"/>
  <c r="E102" i="35"/>
  <c r="D102" i="35"/>
  <c r="H101" i="35"/>
  <c r="G101" i="35"/>
  <c r="F101" i="35"/>
  <c r="E101" i="35"/>
  <c r="D101" i="35"/>
  <c r="H100" i="35"/>
  <c r="G100" i="35"/>
  <c r="F100" i="35"/>
  <c r="E100" i="35"/>
  <c r="D100" i="35"/>
  <c r="H99" i="35"/>
  <c r="G99" i="35"/>
  <c r="F99" i="35"/>
  <c r="E99" i="35"/>
  <c r="D99" i="35"/>
  <c r="H98" i="35"/>
  <c r="G98" i="35"/>
  <c r="F98" i="35"/>
  <c r="E98" i="35"/>
  <c r="D98" i="35"/>
  <c r="H97" i="35"/>
  <c r="G97" i="35"/>
  <c r="F97" i="35"/>
  <c r="E97" i="35"/>
  <c r="D97" i="35"/>
  <c r="H96" i="35"/>
  <c r="G96" i="35"/>
  <c r="F96" i="35"/>
  <c r="E96" i="35"/>
  <c r="D96" i="35"/>
  <c r="H95" i="35"/>
  <c r="G95" i="35"/>
  <c r="F95" i="35"/>
  <c r="E95" i="35"/>
  <c r="D95" i="35"/>
  <c r="H94" i="35"/>
  <c r="G94" i="35"/>
  <c r="F94" i="35"/>
  <c r="E94" i="35"/>
  <c r="D94" i="35"/>
  <c r="H87" i="35"/>
  <c r="G87" i="35"/>
  <c r="F87" i="35"/>
  <c r="E87" i="35"/>
  <c r="D87" i="35"/>
  <c r="A87" i="35"/>
  <c r="H86" i="35"/>
  <c r="G86" i="35"/>
  <c r="F86" i="35"/>
  <c r="E86" i="35"/>
  <c r="D86" i="35"/>
  <c r="A86" i="35"/>
  <c r="A85" i="35"/>
  <c r="H83" i="35"/>
  <c r="G83" i="35"/>
  <c r="F83" i="35"/>
  <c r="E83" i="35"/>
  <c r="D83" i="35"/>
  <c r="A83" i="35"/>
  <c r="H82" i="35"/>
  <c r="G82" i="35"/>
  <c r="F82" i="35"/>
  <c r="E82" i="35"/>
  <c r="D82" i="35"/>
  <c r="A82" i="35"/>
  <c r="H81" i="35"/>
  <c r="G81" i="35"/>
  <c r="F81" i="35"/>
  <c r="E81" i="35"/>
  <c r="D81" i="35"/>
  <c r="A81" i="35"/>
  <c r="A80" i="35"/>
  <c r="H78" i="35"/>
  <c r="G78" i="35"/>
  <c r="F78" i="35"/>
  <c r="E78" i="35"/>
  <c r="D78" i="35"/>
  <c r="U77" i="35"/>
  <c r="T77" i="35"/>
  <c r="S77" i="35"/>
  <c r="R77" i="35"/>
  <c r="Q77" i="35"/>
  <c r="P77" i="35"/>
  <c r="O77" i="35"/>
  <c r="N77" i="35"/>
  <c r="M77" i="35"/>
  <c r="L77" i="35"/>
  <c r="H77" i="35"/>
  <c r="G77" i="35"/>
  <c r="F77" i="35"/>
  <c r="E77" i="35"/>
  <c r="D77" i="35"/>
  <c r="H74" i="35"/>
  <c r="G74" i="35"/>
  <c r="F74" i="35"/>
  <c r="E74" i="35"/>
  <c r="D74" i="35"/>
  <c r="H73" i="35"/>
  <c r="G73" i="35"/>
  <c r="F73" i="35"/>
  <c r="E73" i="35"/>
  <c r="D73" i="35"/>
  <c r="A73" i="35"/>
  <c r="A72" i="35"/>
  <c r="H70" i="35"/>
  <c r="G70" i="35"/>
  <c r="F70" i="35"/>
  <c r="E70" i="35"/>
  <c r="D70" i="35"/>
  <c r="A70" i="35"/>
  <c r="H69" i="35"/>
  <c r="G69" i="35"/>
  <c r="F69" i="35"/>
  <c r="E69" i="35"/>
  <c r="D69" i="35"/>
  <c r="A69" i="35"/>
  <c r="H68" i="35"/>
  <c r="G68" i="35"/>
  <c r="F68" i="35"/>
  <c r="E68" i="35"/>
  <c r="D68" i="35"/>
  <c r="A68" i="35"/>
  <c r="A67" i="35"/>
  <c r="H65" i="35"/>
  <c r="G65" i="35"/>
  <c r="F65" i="35"/>
  <c r="E65" i="35"/>
  <c r="D65" i="35"/>
  <c r="A65" i="35"/>
  <c r="H64" i="35"/>
  <c r="G64" i="35"/>
  <c r="F64" i="35"/>
  <c r="E64" i="35"/>
  <c r="D64" i="35"/>
  <c r="A64" i="35"/>
  <c r="H63" i="35"/>
  <c r="G63" i="35"/>
  <c r="F63" i="35"/>
  <c r="E63" i="35"/>
  <c r="D63" i="35"/>
  <c r="A63" i="35"/>
  <c r="H62" i="35"/>
  <c r="G62" i="35"/>
  <c r="F62" i="35"/>
  <c r="E62" i="35"/>
  <c r="D62" i="35"/>
  <c r="A62" i="35"/>
  <c r="H60" i="35"/>
  <c r="G60" i="35"/>
  <c r="F60" i="35"/>
  <c r="E60" i="35"/>
  <c r="D60" i="35"/>
  <c r="A60" i="35"/>
  <c r="H59" i="35"/>
  <c r="G59" i="35"/>
  <c r="F59" i="35"/>
  <c r="E59" i="35"/>
  <c r="D59" i="35"/>
  <c r="A59" i="35"/>
  <c r="H58" i="35"/>
  <c r="G58" i="35"/>
  <c r="F58" i="35"/>
  <c r="E58" i="35"/>
  <c r="D58" i="35"/>
  <c r="A58" i="35"/>
  <c r="H57" i="35"/>
  <c r="G57" i="35"/>
  <c r="F57" i="35"/>
  <c r="E57" i="35"/>
  <c r="D57" i="35"/>
  <c r="A57" i="35"/>
  <c r="H56" i="35"/>
  <c r="G56" i="35"/>
  <c r="F56" i="35"/>
  <c r="E56" i="35"/>
  <c r="D56" i="35"/>
  <c r="A56" i="35"/>
  <c r="A55" i="35"/>
  <c r="K54" i="35"/>
  <c r="J54" i="35"/>
  <c r="I54" i="35"/>
  <c r="H54" i="35"/>
  <c r="G54" i="35"/>
  <c r="F54" i="35"/>
  <c r="E54" i="35"/>
  <c r="D54" i="35"/>
  <c r="C54" i="35"/>
  <c r="A54" i="35"/>
  <c r="A53" i="35"/>
  <c r="H51" i="35"/>
  <c r="G51" i="35"/>
  <c r="F51" i="35"/>
  <c r="E51" i="35"/>
  <c r="D51" i="35"/>
  <c r="H50" i="35"/>
  <c r="G50" i="35"/>
  <c r="F50" i="35"/>
  <c r="E50" i="35"/>
  <c r="D50" i="35"/>
  <c r="H47" i="35"/>
  <c r="G47" i="35"/>
  <c r="F47" i="35"/>
  <c r="E47" i="35"/>
  <c r="D47" i="35"/>
  <c r="A46" i="35"/>
  <c r="H45" i="35"/>
  <c r="G45" i="35"/>
  <c r="F45" i="35"/>
  <c r="E45" i="35"/>
  <c r="D45" i="35"/>
  <c r="A45" i="35"/>
  <c r="H44" i="35"/>
  <c r="G44" i="35"/>
  <c r="F44" i="35"/>
  <c r="E44" i="35"/>
  <c r="D44" i="35"/>
  <c r="A44" i="35"/>
  <c r="H43" i="35"/>
  <c r="G43" i="35"/>
  <c r="F43" i="35"/>
  <c r="E43" i="35"/>
  <c r="D43" i="35"/>
  <c r="A43" i="35"/>
  <c r="H42" i="35"/>
  <c r="G42" i="35"/>
  <c r="F42" i="35"/>
  <c r="E42" i="35"/>
  <c r="D42" i="35"/>
  <c r="A42" i="35"/>
  <c r="H41" i="35"/>
  <c r="G41" i="35"/>
  <c r="F41" i="35"/>
  <c r="E41" i="35"/>
  <c r="D41" i="35"/>
  <c r="A41" i="35"/>
  <c r="H40" i="35"/>
  <c r="G40" i="35"/>
  <c r="F40" i="35"/>
  <c r="E40" i="35"/>
  <c r="D40" i="35"/>
  <c r="A40" i="35"/>
  <c r="A39" i="35"/>
  <c r="H37" i="35"/>
  <c r="G37" i="35"/>
  <c r="F37" i="35"/>
  <c r="E37" i="35"/>
  <c r="D37" i="35"/>
  <c r="A37" i="35"/>
  <c r="H36" i="35"/>
  <c r="G36" i="35"/>
  <c r="F36" i="35"/>
  <c r="E36" i="35"/>
  <c r="D36" i="35"/>
  <c r="A36" i="35"/>
  <c r="A35" i="35"/>
  <c r="K34" i="35"/>
  <c r="J34" i="35"/>
  <c r="I34" i="35"/>
  <c r="H34" i="35"/>
  <c r="G34" i="35"/>
  <c r="F34" i="35"/>
  <c r="E34" i="35"/>
  <c r="D34" i="35"/>
  <c r="C34" i="35"/>
  <c r="A34" i="35"/>
  <c r="A33" i="35"/>
  <c r="H31" i="35"/>
  <c r="G31" i="35"/>
  <c r="F31" i="35"/>
  <c r="E31" i="35"/>
  <c r="D31" i="35"/>
  <c r="A31" i="35"/>
  <c r="H30" i="35"/>
  <c r="G30" i="35"/>
  <c r="F30" i="35"/>
  <c r="E30" i="35"/>
  <c r="D30" i="35"/>
  <c r="A30" i="35"/>
  <c r="A29" i="35"/>
  <c r="H27" i="35"/>
  <c r="G27" i="35"/>
  <c r="F27" i="35"/>
  <c r="E27" i="35"/>
  <c r="D27" i="35"/>
  <c r="A27" i="35"/>
  <c r="A26" i="35"/>
  <c r="H24" i="35"/>
  <c r="G24" i="35"/>
  <c r="F24" i="35"/>
  <c r="E24" i="35"/>
  <c r="D24" i="35"/>
  <c r="A24" i="35"/>
  <c r="H23" i="35"/>
  <c r="G23" i="35"/>
  <c r="F23" i="35"/>
  <c r="E23" i="35"/>
  <c r="D23" i="35"/>
  <c r="A23" i="35"/>
  <c r="H21" i="35"/>
  <c r="G21" i="35"/>
  <c r="F21" i="35"/>
  <c r="E21" i="35"/>
  <c r="D21" i="35"/>
  <c r="A21" i="35"/>
  <c r="A20" i="35"/>
  <c r="H18" i="35"/>
  <c r="G18" i="35"/>
  <c r="F18" i="35"/>
  <c r="E18" i="35"/>
  <c r="D18" i="35"/>
  <c r="A18" i="35"/>
  <c r="H17" i="35"/>
  <c r="G17" i="35"/>
  <c r="F17" i="35"/>
  <c r="E17" i="35"/>
  <c r="D17" i="35"/>
  <c r="A17" i="35"/>
  <c r="H16" i="35"/>
  <c r="G16" i="35"/>
  <c r="F16" i="35"/>
  <c r="E16" i="35"/>
  <c r="D16" i="35"/>
  <c r="A16" i="35"/>
  <c r="A15" i="35"/>
  <c r="H13" i="35"/>
  <c r="G13" i="35"/>
  <c r="F13" i="35"/>
  <c r="E13" i="35"/>
  <c r="D13" i="35"/>
  <c r="A13" i="35"/>
  <c r="H12" i="35"/>
  <c r="G12" i="35"/>
  <c r="F12" i="35"/>
  <c r="E12" i="35"/>
  <c r="D12" i="35"/>
  <c r="A12" i="35"/>
  <c r="A11" i="35"/>
  <c r="H9" i="35"/>
  <c r="G9" i="35"/>
  <c r="F9" i="35"/>
  <c r="E9" i="35"/>
  <c r="D9" i="35"/>
  <c r="A9" i="35"/>
  <c r="H8" i="35"/>
  <c r="G8" i="35"/>
  <c r="F8" i="35"/>
  <c r="E8" i="35"/>
  <c r="D8" i="35"/>
  <c r="A8" i="35"/>
  <c r="H7" i="35"/>
  <c r="G7" i="35"/>
  <c r="F7" i="35"/>
  <c r="E7" i="35"/>
  <c r="D7" i="35"/>
  <c r="A7" i="35"/>
  <c r="A6" i="35"/>
  <c r="U5" i="35"/>
  <c r="T5" i="35"/>
  <c r="S5" i="35"/>
  <c r="R5" i="35"/>
  <c r="Q5" i="35"/>
  <c r="P5" i="35"/>
  <c r="O5" i="35"/>
  <c r="N5" i="35"/>
  <c r="M5" i="35"/>
  <c r="L5" i="35"/>
  <c r="A5" i="35"/>
  <c r="A3" i="35"/>
  <c r="D221" i="4"/>
  <c r="D220" i="4"/>
  <c r="F85" i="4"/>
  <c r="D85" i="4"/>
  <c r="D75" i="4"/>
  <c r="D74" i="4"/>
  <c r="D73" i="4"/>
  <c r="D69" i="4"/>
  <c r="D68" i="4"/>
  <c r="F63" i="4"/>
  <c r="F50" i="4"/>
  <c r="D63" i="4"/>
  <c r="D50" i="4"/>
  <c r="D218" i="4"/>
  <c r="D48" i="4"/>
  <c r="D46" i="4"/>
  <c r="D45" i="4"/>
  <c r="D47" i="4"/>
  <c r="D43" i="4"/>
  <c r="D42" i="4"/>
  <c r="D41" i="4"/>
  <c r="D40" i="4"/>
  <c r="D39" i="4"/>
  <c r="D38" i="4"/>
  <c r="D36" i="4"/>
  <c r="D35" i="4"/>
  <c r="D34" i="4"/>
  <c r="D18" i="4"/>
  <c r="D17" i="4"/>
  <c r="D16" i="4"/>
  <c r="D15" i="4"/>
  <c r="D13" i="4"/>
  <c r="D10" i="4"/>
  <c r="D214" i="4"/>
  <c r="D212" i="4"/>
  <c r="D211" i="4"/>
  <c r="D210" i="4"/>
  <c r="D209" i="4"/>
  <c r="D208" i="4"/>
  <c r="D207" i="4"/>
  <c r="D191" i="4"/>
  <c r="D190" i="4"/>
  <c r="D192" i="4"/>
  <c r="D194" i="4"/>
  <c r="D193" i="4"/>
  <c r="D189" i="4"/>
  <c r="D188" i="4"/>
  <c r="D179" i="4"/>
  <c r="F182" i="4"/>
  <c r="D177" i="4"/>
  <c r="D173" i="4"/>
  <c r="D170" i="4"/>
  <c r="D169" i="4"/>
  <c r="D176" i="4"/>
  <c r="D175" i="4"/>
  <c r="D168" i="4"/>
  <c r="D167" i="4"/>
  <c r="D166" i="4"/>
  <c r="D165" i="4"/>
  <c r="D164" i="4"/>
  <c r="D161" i="4"/>
  <c r="D163" i="4"/>
  <c r="D160" i="4"/>
  <c r="D174" i="4"/>
  <c r="D149" i="4"/>
  <c r="D185" i="4"/>
  <c r="D145" i="4"/>
  <c r="D143" i="4"/>
  <c r="D131" i="4"/>
  <c r="D142" i="4"/>
  <c r="D122" i="4"/>
  <c r="D121" i="4"/>
  <c r="D120" i="4"/>
  <c r="D118" i="4"/>
  <c r="D116" i="4"/>
  <c r="D117" i="4"/>
  <c r="D112" i="4"/>
  <c r="D111" i="4"/>
  <c r="D186" i="4"/>
  <c r="D99" i="4"/>
  <c r="D91" i="4"/>
  <c r="D90" i="4"/>
  <c r="D89" i="4"/>
  <c r="D88" i="4"/>
  <c r="D86" i="4"/>
  <c r="D87" i="4"/>
  <c r="D84" i="4"/>
  <c r="D83" i="4"/>
  <c r="D80" i="4"/>
  <c r="D76" i="4"/>
  <c r="D77" i="4"/>
  <c r="D132" i="4"/>
  <c r="D128" i="4"/>
  <c r="D125" i="4"/>
  <c r="D72" i="4"/>
  <c r="D71" i="4"/>
  <c r="D70" i="4"/>
  <c r="D67" i="4"/>
  <c r="D66" i="4"/>
  <c r="D64" i="4"/>
  <c r="D59" i="4"/>
  <c r="D58" i="4"/>
  <c r="D51" i="4"/>
  <c r="D52" i="4" s="1"/>
  <c r="G134" i="17"/>
  <c r="G171" i="17"/>
  <c r="G170" i="17"/>
  <c r="G169" i="17"/>
  <c r="G168" i="17"/>
  <c r="G165" i="17"/>
  <c r="G164" i="17"/>
  <c r="G163" i="17"/>
  <c r="G162" i="17"/>
  <c r="G161" i="17"/>
  <c r="G160" i="17"/>
  <c r="G157" i="17"/>
  <c r="G156" i="17"/>
  <c r="G155" i="17"/>
  <c r="G152" i="17"/>
  <c r="H149" i="17"/>
  <c r="G149" i="17"/>
  <c r="F149" i="17"/>
  <c r="E149" i="17"/>
  <c r="D149" i="17"/>
  <c r="G146" i="17"/>
  <c r="G145" i="17"/>
  <c r="G144" i="17"/>
  <c r="G143" i="17"/>
  <c r="G142" i="17"/>
  <c r="G139" i="17"/>
  <c r="G131" i="17"/>
  <c r="G130" i="17"/>
  <c r="G129" i="17"/>
  <c r="G128" i="17"/>
  <c r="G127" i="17"/>
  <c r="G126" i="17"/>
  <c r="G123" i="17"/>
  <c r="G122" i="17"/>
  <c r="G120" i="17"/>
  <c r="G119" i="17"/>
  <c r="G118" i="17"/>
  <c r="G117" i="17"/>
  <c r="G113" i="17"/>
  <c r="G108" i="17"/>
  <c r="G106" i="17"/>
  <c r="G105" i="17"/>
  <c r="G103" i="17"/>
  <c r="G102" i="17"/>
  <c r="G101" i="17"/>
  <c r="G100" i="17"/>
  <c r="G99" i="17"/>
  <c r="G98" i="17"/>
  <c r="G97" i="17"/>
  <c r="G96" i="17"/>
  <c r="G95" i="17"/>
  <c r="G94" i="17"/>
  <c r="G87" i="17"/>
  <c r="G86" i="17"/>
  <c r="H83" i="17"/>
  <c r="G83" i="17"/>
  <c r="F83" i="17"/>
  <c r="E83" i="17"/>
  <c r="D83" i="17"/>
  <c r="G82" i="17"/>
  <c r="G81" i="17"/>
  <c r="G78" i="17"/>
  <c r="G77" i="17"/>
  <c r="H74" i="17"/>
  <c r="G74" i="17"/>
  <c r="F74" i="17"/>
  <c r="E74" i="17"/>
  <c r="D74" i="17"/>
  <c r="G73" i="17"/>
  <c r="G70" i="17"/>
  <c r="G69" i="17"/>
  <c r="G68" i="17"/>
  <c r="G65" i="17"/>
  <c r="G64" i="17"/>
  <c r="G63" i="17"/>
  <c r="G62" i="17"/>
  <c r="G60" i="17"/>
  <c r="G59" i="17"/>
  <c r="G58" i="17"/>
  <c r="G57" i="17"/>
  <c r="G56" i="17"/>
  <c r="G51" i="17"/>
  <c r="G50" i="17"/>
  <c r="G47" i="17"/>
  <c r="G45" i="17"/>
  <c r="G44" i="17"/>
  <c r="G43" i="17"/>
  <c r="G42" i="17"/>
  <c r="G41" i="17"/>
  <c r="G40" i="17"/>
  <c r="G37" i="17"/>
  <c r="G36" i="17"/>
  <c r="G31" i="17"/>
  <c r="G30" i="17"/>
  <c r="G27" i="17"/>
  <c r="G24" i="17"/>
  <c r="G23" i="17"/>
  <c r="G21" i="17"/>
  <c r="G18" i="17"/>
  <c r="G17" i="17"/>
  <c r="G16" i="17"/>
  <c r="G13" i="17"/>
  <c r="G12" i="17"/>
  <c r="G9" i="17"/>
  <c r="G8" i="17"/>
  <c r="G7" i="17"/>
  <c r="N5" i="17"/>
  <c r="Y209" i="34"/>
  <c r="W209" i="34"/>
  <c r="U209" i="34"/>
  <c r="T209" i="34"/>
  <c r="S209" i="34"/>
  <c r="R209" i="34"/>
  <c r="Y208" i="34"/>
  <c r="W208" i="34"/>
  <c r="U208" i="34"/>
  <c r="T208" i="34"/>
  <c r="S208" i="34"/>
  <c r="R208" i="34"/>
  <c r="Y207" i="34"/>
  <c r="W207" i="34"/>
  <c r="U207" i="34"/>
  <c r="T207" i="34"/>
  <c r="S207" i="34"/>
  <c r="R207" i="34"/>
  <c r="Y206" i="34"/>
  <c r="W206" i="34"/>
  <c r="U206" i="34"/>
  <c r="T206" i="34"/>
  <c r="S206" i="34"/>
  <c r="R206" i="34"/>
  <c r="Y205" i="34"/>
  <c r="W205" i="34"/>
  <c r="T205" i="34"/>
  <c r="S205" i="34"/>
  <c r="R205" i="34"/>
  <c r="Y204" i="34"/>
  <c r="W204" i="34"/>
  <c r="U204" i="34"/>
  <c r="T204" i="34"/>
  <c r="S204" i="34"/>
  <c r="R204" i="34"/>
  <c r="Y203" i="34"/>
  <c r="W203" i="34"/>
  <c r="T203" i="34"/>
  <c r="S203" i="34"/>
  <c r="R203" i="34"/>
  <c r="Y202" i="34"/>
  <c r="W202" i="34"/>
  <c r="T202" i="34"/>
  <c r="S202" i="34"/>
  <c r="R202" i="34"/>
  <c r="Y201" i="34"/>
  <c r="W201" i="34"/>
  <c r="T201" i="34"/>
  <c r="S201" i="34"/>
  <c r="R201" i="34"/>
  <c r="Y200" i="34"/>
  <c r="W200" i="34"/>
  <c r="T200" i="34"/>
  <c r="S200" i="34"/>
  <c r="R200" i="34"/>
  <c r="Y199" i="34"/>
  <c r="W199" i="34"/>
  <c r="U199" i="34"/>
  <c r="T199" i="34"/>
  <c r="S199" i="34"/>
  <c r="R199" i="34"/>
  <c r="Y198" i="34"/>
  <c r="W198" i="34"/>
  <c r="U198" i="34"/>
  <c r="T198" i="34"/>
  <c r="S198" i="34"/>
  <c r="R198" i="34"/>
  <c r="Y197" i="34"/>
  <c r="W197" i="34"/>
  <c r="U197" i="34"/>
  <c r="T197" i="34"/>
  <c r="S197" i="34"/>
  <c r="R197" i="34"/>
  <c r="Y196" i="34"/>
  <c r="W196" i="34"/>
  <c r="U196" i="34"/>
  <c r="T196" i="34"/>
  <c r="S196" i="34"/>
  <c r="R196" i="34"/>
  <c r="Y195" i="34"/>
  <c r="W195" i="34"/>
  <c r="T195" i="34"/>
  <c r="S195" i="34"/>
  <c r="R195" i="34"/>
  <c r="Y194" i="34"/>
  <c r="W194" i="34"/>
  <c r="U194" i="34"/>
  <c r="T194" i="34"/>
  <c r="S194" i="34"/>
  <c r="R194" i="34"/>
  <c r="Y193" i="34"/>
  <c r="W193" i="34"/>
  <c r="U193" i="34"/>
  <c r="T193" i="34"/>
  <c r="S193" i="34"/>
  <c r="R193" i="34"/>
  <c r="Y192" i="34"/>
  <c r="W192" i="34"/>
  <c r="U192" i="34"/>
  <c r="T192" i="34"/>
  <c r="S192" i="34"/>
  <c r="R192" i="34"/>
  <c r="Y191" i="34"/>
  <c r="W191" i="34"/>
  <c r="U191" i="34"/>
  <c r="T191" i="34"/>
  <c r="S191" i="34"/>
  <c r="R191" i="34"/>
  <c r="U148" i="34"/>
  <c r="U147" i="34" s="1"/>
  <c r="T148" i="34"/>
  <c r="S148" i="34"/>
  <c r="R147" i="34"/>
  <c r="U186" i="34"/>
  <c r="T186" i="34"/>
  <c r="S186" i="34"/>
  <c r="U185" i="34"/>
  <c r="T185" i="34"/>
  <c r="S185" i="34"/>
  <c r="U184" i="34"/>
  <c r="T184" i="34"/>
  <c r="S184" i="34"/>
  <c r="U183" i="34"/>
  <c r="T183" i="34"/>
  <c r="S183" i="34"/>
  <c r="R182" i="34"/>
  <c r="U180" i="34"/>
  <c r="T180" i="34"/>
  <c r="S180" i="34"/>
  <c r="U179" i="34"/>
  <c r="T179" i="34"/>
  <c r="S179" i="34"/>
  <c r="U178" i="34"/>
  <c r="T178" i="34"/>
  <c r="S178" i="34"/>
  <c r="U177" i="34"/>
  <c r="T177" i="34"/>
  <c r="S177" i="34"/>
  <c r="U176" i="34"/>
  <c r="T176" i="34"/>
  <c r="S176" i="34"/>
  <c r="U175" i="34"/>
  <c r="T175" i="34"/>
  <c r="S175" i="34"/>
  <c r="R174" i="34"/>
  <c r="U172" i="34"/>
  <c r="T172" i="34"/>
  <c r="S172" i="34"/>
  <c r="U171" i="34"/>
  <c r="T171" i="34"/>
  <c r="S171" i="34"/>
  <c r="U170" i="34"/>
  <c r="T170" i="34"/>
  <c r="S170" i="34"/>
  <c r="R169" i="34"/>
  <c r="U167" i="34"/>
  <c r="T167" i="34"/>
  <c r="S167" i="34"/>
  <c r="R166" i="34"/>
  <c r="T164" i="34"/>
  <c r="S164" i="34"/>
  <c r="R163" i="34"/>
  <c r="U161" i="34"/>
  <c r="T161" i="34"/>
  <c r="S161" i="34"/>
  <c r="U160" i="34"/>
  <c r="T160" i="34"/>
  <c r="S160" i="34"/>
  <c r="U159" i="34"/>
  <c r="T159" i="34"/>
  <c r="S159" i="34"/>
  <c r="U158" i="34"/>
  <c r="T158" i="34"/>
  <c r="S158" i="34"/>
  <c r="U157" i="34"/>
  <c r="T157" i="34"/>
  <c r="S157" i="34"/>
  <c r="R156" i="34"/>
  <c r="T154" i="34"/>
  <c r="S154" i="34"/>
  <c r="R153" i="34"/>
  <c r="T151" i="34"/>
  <c r="S151" i="34"/>
  <c r="R150" i="34"/>
  <c r="R149" i="34"/>
  <c r="T145" i="34"/>
  <c r="S145" i="34"/>
  <c r="T144" i="34"/>
  <c r="S144" i="34"/>
  <c r="U143" i="34"/>
  <c r="T143" i="34"/>
  <c r="S143" i="34"/>
  <c r="U142" i="34"/>
  <c r="T142" i="34"/>
  <c r="S142" i="34"/>
  <c r="U141" i="34"/>
  <c r="T141" i="34"/>
  <c r="S141" i="34"/>
  <c r="U140" i="34"/>
  <c r="T140" i="34"/>
  <c r="S140" i="34"/>
  <c r="R139" i="34"/>
  <c r="U137" i="34"/>
  <c r="T137" i="34"/>
  <c r="S137" i="34"/>
  <c r="U136" i="34"/>
  <c r="T136" i="34"/>
  <c r="S136" i="34"/>
  <c r="U135" i="34"/>
  <c r="U134" i="34"/>
  <c r="T134" i="34"/>
  <c r="S134" i="34"/>
  <c r="U133" i="34"/>
  <c r="T133" i="34"/>
  <c r="S133" i="34"/>
  <c r="U132" i="34"/>
  <c r="T132" i="34"/>
  <c r="S132" i="34"/>
  <c r="U131" i="34"/>
  <c r="T131" i="34"/>
  <c r="S131" i="34"/>
  <c r="R130" i="34"/>
  <c r="U127" i="34"/>
  <c r="U126" i="34" s="1"/>
  <c r="T127" i="34"/>
  <c r="S127" i="34"/>
  <c r="R126" i="34"/>
  <c r="T124" i="34"/>
  <c r="S124" i="34"/>
  <c r="R123" i="34"/>
  <c r="T121" i="34"/>
  <c r="S121" i="34"/>
  <c r="T120" i="34"/>
  <c r="S120" i="34"/>
  <c r="R119" i="34"/>
  <c r="U117" i="34"/>
  <c r="U116" i="34" s="1"/>
  <c r="T117" i="34"/>
  <c r="S117" i="34"/>
  <c r="R115" i="34"/>
  <c r="U112" i="34"/>
  <c r="T112" i="34"/>
  <c r="S112" i="34"/>
  <c r="U111" i="34"/>
  <c r="T111" i="34"/>
  <c r="S111" i="34"/>
  <c r="T110" i="34"/>
  <c r="S110" i="34"/>
  <c r="U109" i="34"/>
  <c r="T109" i="34"/>
  <c r="S109" i="34"/>
  <c r="T108" i="34"/>
  <c r="S108" i="34"/>
  <c r="T107" i="34"/>
  <c r="S107" i="34"/>
  <c r="U106" i="34"/>
  <c r="T106" i="34"/>
  <c r="S106" i="34"/>
  <c r="U105" i="34"/>
  <c r="T105" i="34"/>
  <c r="S105" i="34"/>
  <c r="U104" i="34"/>
  <c r="T104" i="34"/>
  <c r="S104" i="34"/>
  <c r="U103" i="34"/>
  <c r="T103" i="34"/>
  <c r="S103" i="34"/>
  <c r="T102" i="34"/>
  <c r="S102" i="34"/>
  <c r="T101" i="34"/>
  <c r="S101" i="34"/>
  <c r="U100" i="34"/>
  <c r="T100" i="34"/>
  <c r="S100" i="34"/>
  <c r="T99" i="34"/>
  <c r="S99" i="34"/>
  <c r="U98" i="34"/>
  <c r="T98" i="34"/>
  <c r="S98" i="34"/>
  <c r="U92" i="34"/>
  <c r="T92" i="34"/>
  <c r="S92" i="34"/>
  <c r="W91" i="34"/>
  <c r="T89" i="34"/>
  <c r="S89" i="34"/>
  <c r="U88" i="34"/>
  <c r="T88" i="34"/>
  <c r="S88" i="34"/>
  <c r="R87" i="34"/>
  <c r="T85" i="34"/>
  <c r="S85" i="34"/>
  <c r="T84" i="34"/>
  <c r="S84" i="34"/>
  <c r="T83" i="34"/>
  <c r="S83" i="34"/>
  <c r="R82" i="34"/>
  <c r="U80" i="34"/>
  <c r="T80" i="34"/>
  <c r="S80" i="34"/>
  <c r="T79" i="34"/>
  <c r="S79" i="34"/>
  <c r="T76" i="34"/>
  <c r="S76" i="34"/>
  <c r="T75" i="34"/>
  <c r="S75" i="34"/>
  <c r="U72" i="34"/>
  <c r="T72" i="34"/>
  <c r="S72" i="34"/>
  <c r="U71" i="34"/>
  <c r="T71" i="34"/>
  <c r="S71" i="34"/>
  <c r="U70" i="34"/>
  <c r="T70" i="34"/>
  <c r="S70" i="34"/>
  <c r="R69" i="34"/>
  <c r="U67" i="34"/>
  <c r="T67" i="34"/>
  <c r="S67" i="34"/>
  <c r="U66" i="34"/>
  <c r="T66" i="34"/>
  <c r="S66" i="34"/>
  <c r="U65" i="34"/>
  <c r="T65" i="34"/>
  <c r="S65" i="34"/>
  <c r="T64" i="34"/>
  <c r="S64" i="34"/>
  <c r="U63" i="34"/>
  <c r="T63" i="34"/>
  <c r="S63" i="34"/>
  <c r="U62" i="34"/>
  <c r="T62" i="34"/>
  <c r="S62" i="34"/>
  <c r="T61" i="34"/>
  <c r="S61" i="34"/>
  <c r="T60" i="34"/>
  <c r="S60" i="34"/>
  <c r="T59" i="34"/>
  <c r="S59" i="34"/>
  <c r="R58" i="34"/>
  <c r="T56" i="34"/>
  <c r="S56" i="34"/>
  <c r="U53" i="34"/>
  <c r="T53" i="34"/>
  <c r="S53" i="34"/>
  <c r="T52" i="34"/>
  <c r="S52" i="34"/>
  <c r="U51" i="34"/>
  <c r="T51" i="34"/>
  <c r="S51" i="34"/>
  <c r="T50" i="34"/>
  <c r="S50" i="34"/>
  <c r="R49" i="34"/>
  <c r="R48" i="34"/>
  <c r="T46" i="34"/>
  <c r="S46" i="34"/>
  <c r="T45" i="34"/>
  <c r="S45" i="34"/>
  <c r="T42" i="34"/>
  <c r="S42" i="34"/>
  <c r="T41" i="34"/>
  <c r="S41" i="34"/>
  <c r="T40" i="34"/>
  <c r="S40" i="34"/>
  <c r="U39" i="34"/>
  <c r="T39" i="34"/>
  <c r="S39" i="34"/>
  <c r="U38" i="34"/>
  <c r="T38" i="34"/>
  <c r="S38" i="34"/>
  <c r="U37" i="34"/>
  <c r="T37" i="34"/>
  <c r="S37" i="34"/>
  <c r="U36" i="34"/>
  <c r="T36" i="34"/>
  <c r="S36" i="34"/>
  <c r="T33" i="34"/>
  <c r="S33" i="34"/>
  <c r="Y32" i="34"/>
  <c r="T32" i="34"/>
  <c r="S32" i="34"/>
  <c r="T31" i="34"/>
  <c r="S31" i="34"/>
  <c r="R30" i="34"/>
  <c r="R29" i="34"/>
  <c r="U27" i="34"/>
  <c r="T27" i="34"/>
  <c r="S27" i="34"/>
  <c r="T26" i="34"/>
  <c r="S26" i="34"/>
  <c r="R25" i="34"/>
  <c r="U23" i="34"/>
  <c r="U22" i="34" s="1"/>
  <c r="T23" i="34"/>
  <c r="S23" i="34"/>
  <c r="R22" i="34"/>
  <c r="T20" i="34"/>
  <c r="S20" i="34"/>
  <c r="R19" i="34"/>
  <c r="T17" i="34"/>
  <c r="S17" i="34"/>
  <c r="U16" i="34"/>
  <c r="T16" i="34"/>
  <c r="S16" i="34"/>
  <c r="T15" i="34"/>
  <c r="S15" i="34"/>
  <c r="R14" i="34"/>
  <c r="T12" i="34"/>
  <c r="S12" i="34"/>
  <c r="U11" i="34"/>
  <c r="T11" i="34"/>
  <c r="S11" i="34"/>
  <c r="R10" i="34"/>
  <c r="T8" i="34"/>
  <c r="S8" i="34"/>
  <c r="U7" i="34"/>
  <c r="T7" i="34"/>
  <c r="S7" i="34"/>
  <c r="U6" i="34"/>
  <c r="T6" i="34"/>
  <c r="S6" i="34"/>
  <c r="R5" i="34"/>
  <c r="R4" i="34"/>
  <c r="Y3" i="34"/>
  <c r="T3" i="34"/>
  <c r="S3" i="34"/>
  <c r="R3" i="34"/>
  <c r="N279" i="1"/>
  <c r="N96" i="1"/>
  <c r="E83" i="4" s="1"/>
  <c r="S32" i="33"/>
  <c r="E41" i="18"/>
  <c r="E45" i="18"/>
  <c r="L3" i="33"/>
  <c r="M3" i="33"/>
  <c r="N3" i="33"/>
  <c r="S3" i="33"/>
  <c r="L4" i="33"/>
  <c r="L5" i="33"/>
  <c r="M6" i="33"/>
  <c r="N6" i="33"/>
  <c r="O6" i="33"/>
  <c r="M7" i="33"/>
  <c r="N7" i="33"/>
  <c r="O7" i="33"/>
  <c r="M8" i="33"/>
  <c r="N8" i="33"/>
  <c r="L10" i="33"/>
  <c r="Q91" i="33"/>
  <c r="S208" i="33"/>
  <c r="Q208" i="33"/>
  <c r="O208" i="33"/>
  <c r="N208" i="33"/>
  <c r="M208" i="33"/>
  <c r="L208" i="33"/>
  <c r="S207" i="33"/>
  <c r="Q207" i="33"/>
  <c r="O207" i="33"/>
  <c r="N207" i="33"/>
  <c r="M207" i="33"/>
  <c r="L207" i="33"/>
  <c r="S206" i="33"/>
  <c r="Q206" i="33"/>
  <c r="O206" i="33"/>
  <c r="N206" i="33"/>
  <c r="M206" i="33"/>
  <c r="L206" i="33"/>
  <c r="S205" i="33"/>
  <c r="Q205" i="33"/>
  <c r="O205" i="33"/>
  <c r="N205" i="33"/>
  <c r="M205" i="33"/>
  <c r="L205" i="33"/>
  <c r="S204" i="33"/>
  <c r="Q204" i="33"/>
  <c r="N204" i="33"/>
  <c r="M204" i="33"/>
  <c r="L204" i="33"/>
  <c r="S203" i="33"/>
  <c r="Q203" i="33"/>
  <c r="O203" i="33"/>
  <c r="N203" i="33"/>
  <c r="M203" i="33"/>
  <c r="L203" i="33"/>
  <c r="S202" i="33"/>
  <c r="Q202" i="33"/>
  <c r="N202" i="33"/>
  <c r="M202" i="33"/>
  <c r="L202" i="33"/>
  <c r="S201" i="33"/>
  <c r="Q201" i="33"/>
  <c r="N201" i="33"/>
  <c r="M201" i="33"/>
  <c r="L201" i="33"/>
  <c r="S200" i="33"/>
  <c r="Q200" i="33"/>
  <c r="N200" i="33"/>
  <c r="M200" i="33"/>
  <c r="L200" i="33"/>
  <c r="S199" i="33"/>
  <c r="Q199" i="33"/>
  <c r="N199" i="33"/>
  <c r="M199" i="33"/>
  <c r="L199" i="33"/>
  <c r="S198" i="33"/>
  <c r="Q198" i="33"/>
  <c r="O198" i="33"/>
  <c r="N198" i="33"/>
  <c r="M198" i="33"/>
  <c r="L198" i="33"/>
  <c r="S197" i="33"/>
  <c r="Q197" i="33"/>
  <c r="O197" i="33"/>
  <c r="N197" i="33"/>
  <c r="M197" i="33"/>
  <c r="L197" i="33"/>
  <c r="S196" i="33"/>
  <c r="Q196" i="33"/>
  <c r="O196" i="33"/>
  <c r="N196" i="33"/>
  <c r="M196" i="33"/>
  <c r="L196" i="33"/>
  <c r="S195" i="33"/>
  <c r="Q195" i="33"/>
  <c r="O195" i="33"/>
  <c r="N195" i="33"/>
  <c r="M195" i="33"/>
  <c r="L195" i="33"/>
  <c r="S194" i="33"/>
  <c r="Q194" i="33"/>
  <c r="N194" i="33"/>
  <c r="M194" i="33"/>
  <c r="L194" i="33"/>
  <c r="S193" i="33"/>
  <c r="Q193" i="33"/>
  <c r="O193" i="33"/>
  <c r="N193" i="33"/>
  <c r="M193" i="33"/>
  <c r="L193" i="33"/>
  <c r="S192" i="33"/>
  <c r="Q192" i="33"/>
  <c r="O192" i="33"/>
  <c r="N192" i="33"/>
  <c r="M192" i="33"/>
  <c r="L192" i="33"/>
  <c r="S191" i="33"/>
  <c r="Q191" i="33"/>
  <c r="O191" i="33"/>
  <c r="N191" i="33"/>
  <c r="M191" i="33"/>
  <c r="L191" i="33"/>
  <c r="S190" i="33"/>
  <c r="Q190" i="33"/>
  <c r="O190" i="33"/>
  <c r="N190" i="33"/>
  <c r="M190" i="33"/>
  <c r="L190" i="33"/>
  <c r="O147" i="33"/>
  <c r="O146" i="33" s="1"/>
  <c r="N147" i="33"/>
  <c r="M147" i="33"/>
  <c r="L146" i="33"/>
  <c r="O185" i="33"/>
  <c r="N185" i="33"/>
  <c r="M185" i="33"/>
  <c r="O184" i="33"/>
  <c r="N184" i="33"/>
  <c r="M184" i="33"/>
  <c r="O183" i="33"/>
  <c r="N183" i="33"/>
  <c r="M183" i="33"/>
  <c r="O182" i="33"/>
  <c r="N182" i="33"/>
  <c r="M182" i="33"/>
  <c r="L181" i="33"/>
  <c r="O179" i="33"/>
  <c r="N179" i="33"/>
  <c r="M179" i="33"/>
  <c r="O178" i="33"/>
  <c r="N178" i="33"/>
  <c r="M178" i="33"/>
  <c r="O177" i="33"/>
  <c r="N177" i="33"/>
  <c r="M177" i="33"/>
  <c r="O176" i="33"/>
  <c r="N176" i="33"/>
  <c r="M176" i="33"/>
  <c r="O175" i="33"/>
  <c r="N175" i="33"/>
  <c r="M175" i="33"/>
  <c r="O174" i="33"/>
  <c r="N174" i="33"/>
  <c r="M174" i="33"/>
  <c r="L173" i="33"/>
  <c r="O171" i="33"/>
  <c r="N171" i="33"/>
  <c r="M171" i="33"/>
  <c r="O170" i="33"/>
  <c r="N170" i="33"/>
  <c r="M170" i="33"/>
  <c r="O169" i="33"/>
  <c r="N169" i="33"/>
  <c r="M169" i="33"/>
  <c r="L168" i="33"/>
  <c r="O166" i="33"/>
  <c r="N166" i="33"/>
  <c r="M166" i="33"/>
  <c r="L165" i="33"/>
  <c r="N163" i="33"/>
  <c r="M163" i="33"/>
  <c r="L162" i="33"/>
  <c r="O160" i="33"/>
  <c r="N160" i="33"/>
  <c r="M160" i="33"/>
  <c r="O159" i="33"/>
  <c r="N159" i="33"/>
  <c r="M159" i="33"/>
  <c r="O158" i="33"/>
  <c r="N158" i="33"/>
  <c r="M158" i="33"/>
  <c r="O157" i="33"/>
  <c r="N157" i="33"/>
  <c r="M157" i="33"/>
  <c r="O156" i="33"/>
  <c r="N156" i="33"/>
  <c r="M156" i="33"/>
  <c r="L155" i="33"/>
  <c r="N153" i="33"/>
  <c r="M153" i="33"/>
  <c r="L152" i="33"/>
  <c r="N150" i="33"/>
  <c r="M150" i="33"/>
  <c r="L149" i="33"/>
  <c r="L148" i="33"/>
  <c r="N144" i="33"/>
  <c r="M144" i="33"/>
  <c r="N143" i="33"/>
  <c r="M143" i="33"/>
  <c r="O142" i="33"/>
  <c r="N142" i="33"/>
  <c r="M142" i="33"/>
  <c r="O141" i="33"/>
  <c r="N141" i="33"/>
  <c r="M141" i="33"/>
  <c r="O140" i="33"/>
  <c r="N140" i="33"/>
  <c r="M140" i="33"/>
  <c r="O139" i="33"/>
  <c r="N139" i="33"/>
  <c r="M139" i="33"/>
  <c r="L138" i="33"/>
  <c r="O136" i="33"/>
  <c r="N136" i="33"/>
  <c r="M136" i="33"/>
  <c r="O135" i="33"/>
  <c r="N135" i="33"/>
  <c r="M135" i="33"/>
  <c r="O134" i="33"/>
  <c r="O133" i="33"/>
  <c r="N133" i="33"/>
  <c r="M133" i="33"/>
  <c r="O132" i="33"/>
  <c r="N132" i="33"/>
  <c r="M132" i="33"/>
  <c r="O131" i="33"/>
  <c r="N131" i="33"/>
  <c r="M131" i="33"/>
  <c r="O130" i="33"/>
  <c r="N130" i="33"/>
  <c r="M130" i="33"/>
  <c r="L129" i="33"/>
  <c r="O127" i="33"/>
  <c r="O126" i="33" s="1"/>
  <c r="N127" i="33"/>
  <c r="M127" i="33"/>
  <c r="L126" i="33"/>
  <c r="N124" i="33"/>
  <c r="M124" i="33"/>
  <c r="L123" i="33"/>
  <c r="N121" i="33"/>
  <c r="M121" i="33"/>
  <c r="N120" i="33"/>
  <c r="M120" i="33"/>
  <c r="L119" i="33"/>
  <c r="O117" i="33"/>
  <c r="O116" i="33" s="1"/>
  <c r="N117" i="33"/>
  <c r="M117" i="33"/>
  <c r="L115" i="33"/>
  <c r="O112" i="33"/>
  <c r="N112" i="33"/>
  <c r="M112" i="33"/>
  <c r="O111" i="33"/>
  <c r="N111" i="33"/>
  <c r="M111" i="33"/>
  <c r="N110" i="33"/>
  <c r="M110" i="33"/>
  <c r="O109" i="33"/>
  <c r="N109" i="33"/>
  <c r="M109" i="33"/>
  <c r="N108" i="33"/>
  <c r="M108" i="33"/>
  <c r="N107" i="33"/>
  <c r="M107" i="33"/>
  <c r="O106" i="33"/>
  <c r="N106" i="33"/>
  <c r="M106" i="33"/>
  <c r="O105" i="33"/>
  <c r="N105" i="33"/>
  <c r="M105" i="33"/>
  <c r="O104" i="33"/>
  <c r="N104" i="33"/>
  <c r="M104" i="33"/>
  <c r="O103" i="33"/>
  <c r="N103" i="33"/>
  <c r="M103" i="33"/>
  <c r="N102" i="33"/>
  <c r="M102" i="33"/>
  <c r="N101" i="33"/>
  <c r="M101" i="33"/>
  <c r="O100" i="33"/>
  <c r="N100" i="33"/>
  <c r="M100" i="33"/>
  <c r="N99" i="33"/>
  <c r="M99" i="33"/>
  <c r="O98" i="33"/>
  <c r="N98" i="33"/>
  <c r="M98" i="33"/>
  <c r="O92" i="33"/>
  <c r="N92" i="33"/>
  <c r="M92" i="33"/>
  <c r="N89" i="33"/>
  <c r="M89" i="33"/>
  <c r="O88" i="33"/>
  <c r="N88" i="33"/>
  <c r="M88" i="33"/>
  <c r="N85" i="33"/>
  <c r="M85" i="33"/>
  <c r="N84" i="33"/>
  <c r="M84" i="33"/>
  <c r="N83" i="33"/>
  <c r="M83" i="33"/>
  <c r="L82" i="33"/>
  <c r="O80" i="33"/>
  <c r="N80" i="33"/>
  <c r="M80" i="33"/>
  <c r="N79" i="33"/>
  <c r="M79" i="33"/>
  <c r="N76" i="33"/>
  <c r="M76" i="33"/>
  <c r="N75" i="33"/>
  <c r="M75" i="33"/>
  <c r="O72" i="33"/>
  <c r="N72" i="33"/>
  <c r="M72" i="33"/>
  <c r="O71" i="33"/>
  <c r="N71" i="33"/>
  <c r="M71" i="33"/>
  <c r="O70" i="33"/>
  <c r="N70" i="33"/>
  <c r="M70" i="33"/>
  <c r="L69" i="33"/>
  <c r="O67" i="33"/>
  <c r="N67" i="33"/>
  <c r="M67" i="33"/>
  <c r="O66" i="33"/>
  <c r="N66" i="33"/>
  <c r="M66" i="33"/>
  <c r="O65" i="33"/>
  <c r="N65" i="33"/>
  <c r="M65" i="33"/>
  <c r="N64" i="33"/>
  <c r="M64" i="33"/>
  <c r="O63" i="33"/>
  <c r="N63" i="33"/>
  <c r="M63" i="33"/>
  <c r="O62" i="33"/>
  <c r="N62" i="33"/>
  <c r="M62" i="33"/>
  <c r="N61" i="33"/>
  <c r="M61" i="33"/>
  <c r="N60" i="33"/>
  <c r="M60" i="33"/>
  <c r="N59" i="33"/>
  <c r="M59" i="33"/>
  <c r="L58" i="33"/>
  <c r="N56" i="33"/>
  <c r="M56" i="33"/>
  <c r="O53" i="33"/>
  <c r="N53" i="33"/>
  <c r="M53" i="33"/>
  <c r="N52" i="33"/>
  <c r="M52" i="33"/>
  <c r="O51" i="33"/>
  <c r="N51" i="33"/>
  <c r="M51" i="33"/>
  <c r="N50" i="33"/>
  <c r="M50" i="33"/>
  <c r="L49" i="33"/>
  <c r="L48" i="33"/>
  <c r="N46" i="33"/>
  <c r="M46" i="33"/>
  <c r="N45" i="33"/>
  <c r="M45" i="33"/>
  <c r="N42" i="33"/>
  <c r="M42" i="33"/>
  <c r="N41" i="33"/>
  <c r="M41" i="33"/>
  <c r="N40" i="33"/>
  <c r="M40" i="33"/>
  <c r="O39" i="33"/>
  <c r="N39" i="33"/>
  <c r="M39" i="33"/>
  <c r="O38" i="33"/>
  <c r="N38" i="33"/>
  <c r="M38" i="33"/>
  <c r="O37" i="33"/>
  <c r="N37" i="33"/>
  <c r="M37" i="33"/>
  <c r="O36" i="33"/>
  <c r="N36" i="33"/>
  <c r="M36" i="33"/>
  <c r="N33" i="33"/>
  <c r="M33" i="33"/>
  <c r="N32" i="33"/>
  <c r="M32" i="33"/>
  <c r="N31" i="33"/>
  <c r="M31" i="33"/>
  <c r="L30" i="33"/>
  <c r="L29" i="33"/>
  <c r="O27" i="33"/>
  <c r="N27" i="33"/>
  <c r="M27" i="33"/>
  <c r="N26" i="33"/>
  <c r="M26" i="33"/>
  <c r="L25" i="33"/>
  <c r="O23" i="33"/>
  <c r="O22" i="33" s="1"/>
  <c r="N23" i="33"/>
  <c r="M23" i="33"/>
  <c r="L22" i="33"/>
  <c r="N20" i="33"/>
  <c r="M20" i="33"/>
  <c r="L19" i="33"/>
  <c r="N17" i="33"/>
  <c r="M17" i="33"/>
  <c r="O16" i="33"/>
  <c r="N16" i="33"/>
  <c r="M16" i="33"/>
  <c r="N15" i="33"/>
  <c r="M15" i="33"/>
  <c r="L14" i="33"/>
  <c r="N12" i="33"/>
  <c r="M12" i="33"/>
  <c r="O11" i="33"/>
  <c r="N11" i="33"/>
  <c r="M11" i="33"/>
  <c r="N277" i="1"/>
  <c r="N276" i="1"/>
  <c r="Q94" i="33"/>
  <c r="Q95" i="33"/>
  <c r="W92" i="34"/>
  <c r="Q92" i="33"/>
  <c r="W93" i="34"/>
  <c r="H133" i="30"/>
  <c r="G133" i="30"/>
  <c r="F133" i="30"/>
  <c r="E133" i="30"/>
  <c r="D133" i="30"/>
  <c r="A133" i="30"/>
  <c r="A132" i="30"/>
  <c r="H170" i="30"/>
  <c r="G170" i="30"/>
  <c r="F170" i="30"/>
  <c r="E170" i="30"/>
  <c r="D170" i="30"/>
  <c r="A170" i="30"/>
  <c r="H169" i="30"/>
  <c r="G169" i="30"/>
  <c r="F169" i="30"/>
  <c r="E169" i="30"/>
  <c r="D169" i="30"/>
  <c r="A169" i="30"/>
  <c r="H168" i="30"/>
  <c r="G168" i="30"/>
  <c r="F168" i="30"/>
  <c r="E168" i="30"/>
  <c r="D168" i="30"/>
  <c r="A168" i="30"/>
  <c r="H167" i="30"/>
  <c r="G167" i="30"/>
  <c r="F167" i="30"/>
  <c r="E167" i="30"/>
  <c r="D167" i="30"/>
  <c r="A167" i="30"/>
  <c r="A166" i="30"/>
  <c r="H164" i="30"/>
  <c r="G164" i="30"/>
  <c r="F164" i="30"/>
  <c r="E164" i="30"/>
  <c r="D164" i="30"/>
  <c r="A164" i="30"/>
  <c r="H163" i="30"/>
  <c r="G163" i="30"/>
  <c r="F163" i="30"/>
  <c r="E163" i="30"/>
  <c r="D163" i="30"/>
  <c r="A163" i="30"/>
  <c r="H162" i="30"/>
  <c r="G162" i="30"/>
  <c r="F162" i="30"/>
  <c r="E162" i="30"/>
  <c r="D162" i="30"/>
  <c r="A162" i="30"/>
  <c r="H161" i="30"/>
  <c r="G161" i="30"/>
  <c r="F161" i="30"/>
  <c r="E161" i="30"/>
  <c r="D161" i="30"/>
  <c r="A161" i="30"/>
  <c r="H160" i="30"/>
  <c r="G160" i="30"/>
  <c r="F160" i="30"/>
  <c r="E160" i="30"/>
  <c r="D160" i="30"/>
  <c r="A160" i="30"/>
  <c r="H159" i="30"/>
  <c r="G159" i="30"/>
  <c r="F159" i="30"/>
  <c r="E159" i="30"/>
  <c r="D159" i="30"/>
  <c r="A159" i="30"/>
  <c r="A158" i="30"/>
  <c r="H156" i="30"/>
  <c r="G156" i="30"/>
  <c r="F156" i="30"/>
  <c r="E156" i="30"/>
  <c r="D156" i="30"/>
  <c r="A156" i="30"/>
  <c r="H155" i="30"/>
  <c r="G155" i="30"/>
  <c r="F155" i="30"/>
  <c r="E155" i="30"/>
  <c r="D155" i="30"/>
  <c r="A155" i="30"/>
  <c r="H154" i="30"/>
  <c r="G154" i="30"/>
  <c r="F154" i="30"/>
  <c r="E154" i="30"/>
  <c r="D154" i="30"/>
  <c r="A154" i="30"/>
  <c r="A153" i="30"/>
  <c r="H151" i="30"/>
  <c r="G151" i="30"/>
  <c r="F151" i="30"/>
  <c r="E151" i="30"/>
  <c r="D151" i="30"/>
  <c r="A151" i="30"/>
  <c r="A150" i="30"/>
  <c r="H148" i="30"/>
  <c r="G148" i="30"/>
  <c r="F148" i="30"/>
  <c r="E148" i="30"/>
  <c r="D148" i="30"/>
  <c r="A148" i="30"/>
  <c r="A147" i="30"/>
  <c r="H145" i="30"/>
  <c r="G145" i="30"/>
  <c r="F145" i="30"/>
  <c r="E145" i="30"/>
  <c r="D145" i="30"/>
  <c r="A145" i="30"/>
  <c r="H144" i="30"/>
  <c r="G144" i="30"/>
  <c r="F144" i="30"/>
  <c r="E144" i="30"/>
  <c r="D144" i="30"/>
  <c r="A144" i="30"/>
  <c r="H143" i="30"/>
  <c r="G143" i="30"/>
  <c r="F143" i="30"/>
  <c r="E143" i="30"/>
  <c r="D143" i="30"/>
  <c r="A143" i="30"/>
  <c r="H142" i="30"/>
  <c r="G142" i="30"/>
  <c r="F142" i="30"/>
  <c r="E142" i="30"/>
  <c r="D142" i="30"/>
  <c r="A142" i="30"/>
  <c r="H141" i="30"/>
  <c r="G141" i="30"/>
  <c r="F141" i="30"/>
  <c r="E141" i="30"/>
  <c r="D141" i="30"/>
  <c r="A141" i="30"/>
  <c r="A140" i="30"/>
  <c r="H138" i="30"/>
  <c r="G138" i="30"/>
  <c r="F138" i="30"/>
  <c r="E138" i="30"/>
  <c r="D138" i="30"/>
  <c r="A138" i="30"/>
  <c r="A137" i="30"/>
  <c r="K136" i="30"/>
  <c r="J136" i="30"/>
  <c r="I136" i="30"/>
  <c r="H136" i="30"/>
  <c r="G136" i="30"/>
  <c r="F136" i="30"/>
  <c r="E136" i="30"/>
  <c r="D136" i="30"/>
  <c r="C136" i="30"/>
  <c r="A136" i="30"/>
  <c r="A135" i="30"/>
  <c r="H131" i="30"/>
  <c r="G131" i="30"/>
  <c r="F131" i="30"/>
  <c r="E131" i="30"/>
  <c r="D131" i="30"/>
  <c r="A131" i="30"/>
  <c r="H130" i="30"/>
  <c r="G130" i="30"/>
  <c r="F130" i="30"/>
  <c r="E130" i="30"/>
  <c r="D130" i="30"/>
  <c r="A130" i="30"/>
  <c r="H129" i="30"/>
  <c r="G129" i="30"/>
  <c r="F129" i="30"/>
  <c r="E129" i="30"/>
  <c r="D129" i="30"/>
  <c r="A129" i="30"/>
  <c r="H128" i="30"/>
  <c r="G128" i="30"/>
  <c r="F128" i="30"/>
  <c r="E128" i="30"/>
  <c r="D128" i="30"/>
  <c r="A128" i="30"/>
  <c r="H127" i="30"/>
  <c r="G127" i="30"/>
  <c r="F127" i="30"/>
  <c r="E127" i="30"/>
  <c r="D127" i="30"/>
  <c r="A127" i="30"/>
  <c r="H126" i="30"/>
  <c r="G126" i="30"/>
  <c r="F126" i="30"/>
  <c r="E126" i="30"/>
  <c r="D126" i="30"/>
  <c r="A126" i="30"/>
  <c r="A125" i="30"/>
  <c r="H123" i="30"/>
  <c r="G123" i="30"/>
  <c r="F123" i="30"/>
  <c r="E123" i="30"/>
  <c r="D123" i="30"/>
  <c r="A123" i="30"/>
  <c r="H122" i="30"/>
  <c r="G122" i="30"/>
  <c r="F122" i="30"/>
  <c r="E122" i="30"/>
  <c r="D122" i="30"/>
  <c r="A122" i="30"/>
  <c r="H120" i="30"/>
  <c r="G120" i="30"/>
  <c r="F120" i="30"/>
  <c r="E120" i="30"/>
  <c r="D120" i="30"/>
  <c r="A120" i="30"/>
  <c r="H119" i="30"/>
  <c r="G119" i="30"/>
  <c r="F119" i="30"/>
  <c r="E119" i="30"/>
  <c r="D119" i="30"/>
  <c r="A119" i="30"/>
  <c r="H118" i="30"/>
  <c r="G118" i="30"/>
  <c r="F118" i="30"/>
  <c r="E118" i="30"/>
  <c r="D118" i="30"/>
  <c r="A118" i="30"/>
  <c r="H117" i="30"/>
  <c r="G117" i="30"/>
  <c r="F117" i="30"/>
  <c r="E117" i="30"/>
  <c r="D117" i="30"/>
  <c r="A117" i="30"/>
  <c r="A116" i="30"/>
  <c r="H113" i="30"/>
  <c r="G113" i="30"/>
  <c r="F113" i="30"/>
  <c r="E113" i="30"/>
  <c r="D113" i="30"/>
  <c r="A113" i="30"/>
  <c r="A112" i="30"/>
  <c r="K111" i="30"/>
  <c r="J111" i="30"/>
  <c r="I111" i="30"/>
  <c r="H111" i="30"/>
  <c r="G111" i="30"/>
  <c r="F111" i="30"/>
  <c r="E111" i="30"/>
  <c r="D111" i="30"/>
  <c r="C111" i="30"/>
  <c r="A111" i="30"/>
  <c r="A110" i="30"/>
  <c r="H108" i="30"/>
  <c r="G108" i="30"/>
  <c r="F108" i="30"/>
  <c r="E108" i="30"/>
  <c r="D108" i="30"/>
  <c r="H106" i="30"/>
  <c r="G106" i="30"/>
  <c r="F106" i="30"/>
  <c r="E106" i="30"/>
  <c r="D106" i="30"/>
  <c r="H105" i="30"/>
  <c r="G105" i="30"/>
  <c r="F105" i="30"/>
  <c r="E105" i="30"/>
  <c r="D105" i="30"/>
  <c r="H104" i="30"/>
  <c r="G104" i="30"/>
  <c r="F104" i="30"/>
  <c r="E104" i="30"/>
  <c r="D104" i="30"/>
  <c r="H103" i="30"/>
  <c r="G103" i="30"/>
  <c r="F103" i="30"/>
  <c r="E103" i="30"/>
  <c r="D103" i="30"/>
  <c r="H102" i="30"/>
  <c r="G102" i="30"/>
  <c r="F102" i="30"/>
  <c r="E102" i="30"/>
  <c r="D102" i="30"/>
  <c r="H101" i="30"/>
  <c r="G101" i="30"/>
  <c r="F101" i="30"/>
  <c r="E101" i="30"/>
  <c r="D101" i="30"/>
  <c r="H100" i="30"/>
  <c r="G100" i="30"/>
  <c r="F100" i="30"/>
  <c r="E100" i="30"/>
  <c r="D100" i="30"/>
  <c r="H99" i="30"/>
  <c r="G99" i="30"/>
  <c r="F99" i="30"/>
  <c r="E99" i="30"/>
  <c r="D99" i="30"/>
  <c r="H98" i="30"/>
  <c r="G98" i="30"/>
  <c r="F98" i="30"/>
  <c r="E98" i="30"/>
  <c r="D98" i="30"/>
  <c r="H97" i="30"/>
  <c r="G97" i="30"/>
  <c r="F97" i="30"/>
  <c r="E97" i="30"/>
  <c r="D97" i="30"/>
  <c r="H96" i="30"/>
  <c r="G96" i="30"/>
  <c r="F96" i="30"/>
  <c r="E96" i="30"/>
  <c r="D96" i="30"/>
  <c r="H95" i="30"/>
  <c r="G95" i="30"/>
  <c r="F95" i="30"/>
  <c r="E95" i="30"/>
  <c r="D95" i="30"/>
  <c r="H94" i="30"/>
  <c r="G94" i="30"/>
  <c r="F94" i="30"/>
  <c r="E94" i="30"/>
  <c r="D94" i="30"/>
  <c r="H87" i="30"/>
  <c r="G87" i="30"/>
  <c r="F87" i="30"/>
  <c r="E87" i="30"/>
  <c r="D87" i="30"/>
  <c r="A87" i="30"/>
  <c r="H86" i="30"/>
  <c r="G86" i="30"/>
  <c r="F86" i="30"/>
  <c r="E86" i="30"/>
  <c r="D86" i="30"/>
  <c r="A86" i="30"/>
  <c r="A85" i="30"/>
  <c r="H83" i="30"/>
  <c r="G83" i="30"/>
  <c r="F83" i="30"/>
  <c r="E83" i="30"/>
  <c r="D83" i="30"/>
  <c r="A83" i="30"/>
  <c r="H82" i="30"/>
  <c r="G82" i="30"/>
  <c r="F82" i="30"/>
  <c r="E82" i="30"/>
  <c r="D82" i="30"/>
  <c r="A82" i="30"/>
  <c r="H81" i="30"/>
  <c r="G81" i="30"/>
  <c r="F81" i="30"/>
  <c r="E81" i="30"/>
  <c r="D81" i="30"/>
  <c r="A81" i="30"/>
  <c r="A80" i="30"/>
  <c r="H78" i="30"/>
  <c r="G78" i="30"/>
  <c r="F78" i="30"/>
  <c r="E78" i="30"/>
  <c r="D78" i="30"/>
  <c r="U77" i="30"/>
  <c r="T77" i="30"/>
  <c r="S77" i="30"/>
  <c r="R77" i="30"/>
  <c r="Q77" i="30"/>
  <c r="P77" i="30"/>
  <c r="O77" i="30"/>
  <c r="N77" i="30"/>
  <c r="M77" i="30"/>
  <c r="L77" i="30"/>
  <c r="H77" i="30"/>
  <c r="G77" i="30"/>
  <c r="F77" i="30"/>
  <c r="E77" i="30"/>
  <c r="D77" i="30"/>
  <c r="H74" i="30"/>
  <c r="G74" i="30"/>
  <c r="F74" i="30"/>
  <c r="E74" i="30"/>
  <c r="D74" i="30"/>
  <c r="H73" i="30"/>
  <c r="G73" i="30"/>
  <c r="F73" i="30"/>
  <c r="E73" i="30"/>
  <c r="D73" i="30"/>
  <c r="A73" i="30"/>
  <c r="A72" i="30"/>
  <c r="H70" i="30"/>
  <c r="G70" i="30"/>
  <c r="F70" i="30"/>
  <c r="E70" i="30"/>
  <c r="D70" i="30"/>
  <c r="A70" i="30"/>
  <c r="H69" i="30"/>
  <c r="G69" i="30"/>
  <c r="F69" i="30"/>
  <c r="E69" i="30"/>
  <c r="D69" i="30"/>
  <c r="A69" i="30"/>
  <c r="H68" i="30"/>
  <c r="G68" i="30"/>
  <c r="F68" i="30"/>
  <c r="E68" i="30"/>
  <c r="D68" i="30"/>
  <c r="A68" i="30"/>
  <c r="A67" i="30"/>
  <c r="H65" i="30"/>
  <c r="G65" i="30"/>
  <c r="F65" i="30"/>
  <c r="E65" i="30"/>
  <c r="D65" i="30"/>
  <c r="A65" i="30"/>
  <c r="H64" i="30"/>
  <c r="G64" i="30"/>
  <c r="F64" i="30"/>
  <c r="E64" i="30"/>
  <c r="D64" i="30"/>
  <c r="A64" i="30"/>
  <c r="H63" i="30"/>
  <c r="G63" i="30"/>
  <c r="F63" i="30"/>
  <c r="E63" i="30"/>
  <c r="D63" i="30"/>
  <c r="A63" i="30"/>
  <c r="H62" i="30"/>
  <c r="G62" i="30"/>
  <c r="F62" i="30"/>
  <c r="E62" i="30"/>
  <c r="D62" i="30"/>
  <c r="A62" i="30"/>
  <c r="H60" i="30"/>
  <c r="G60" i="30"/>
  <c r="F60" i="30"/>
  <c r="E60" i="30"/>
  <c r="D60" i="30"/>
  <c r="A60" i="30"/>
  <c r="H59" i="30"/>
  <c r="G59" i="30"/>
  <c r="F59" i="30"/>
  <c r="E59" i="30"/>
  <c r="D59" i="30"/>
  <c r="A59" i="30"/>
  <c r="H58" i="30"/>
  <c r="G58" i="30"/>
  <c r="F58" i="30"/>
  <c r="E58" i="30"/>
  <c r="D58" i="30"/>
  <c r="A58" i="30"/>
  <c r="H57" i="30"/>
  <c r="G57" i="30"/>
  <c r="F57" i="30"/>
  <c r="E57" i="30"/>
  <c r="D57" i="30"/>
  <c r="A57" i="30"/>
  <c r="H56" i="30"/>
  <c r="G56" i="30"/>
  <c r="F56" i="30"/>
  <c r="E56" i="30"/>
  <c r="D56" i="30"/>
  <c r="A56" i="30"/>
  <c r="A55" i="30"/>
  <c r="K54" i="30"/>
  <c r="J54" i="30"/>
  <c r="I54" i="30"/>
  <c r="H54" i="30"/>
  <c r="G54" i="30"/>
  <c r="F54" i="30"/>
  <c r="E54" i="30"/>
  <c r="D54" i="30"/>
  <c r="C54" i="30"/>
  <c r="A54" i="30"/>
  <c r="A53" i="30"/>
  <c r="H51" i="30"/>
  <c r="G51" i="30"/>
  <c r="F51" i="30"/>
  <c r="E51" i="30"/>
  <c r="D51" i="30"/>
  <c r="H50" i="30"/>
  <c r="G50" i="30"/>
  <c r="F50" i="30"/>
  <c r="E50" i="30"/>
  <c r="D50" i="30"/>
  <c r="H47" i="30"/>
  <c r="G47" i="30"/>
  <c r="F47" i="30"/>
  <c r="E47" i="30"/>
  <c r="D47" i="30"/>
  <c r="A46" i="30"/>
  <c r="H45" i="30"/>
  <c r="G45" i="30"/>
  <c r="F45" i="30"/>
  <c r="E45" i="30"/>
  <c r="D45" i="30"/>
  <c r="A45" i="30"/>
  <c r="H44" i="30"/>
  <c r="G44" i="30"/>
  <c r="F44" i="30"/>
  <c r="E44" i="30"/>
  <c r="D44" i="30"/>
  <c r="A44" i="30"/>
  <c r="H43" i="30"/>
  <c r="G43" i="30"/>
  <c r="F43" i="30"/>
  <c r="E43" i="30"/>
  <c r="D43" i="30"/>
  <c r="A43" i="30"/>
  <c r="H42" i="30"/>
  <c r="G42" i="30"/>
  <c r="F42" i="30"/>
  <c r="E42" i="30"/>
  <c r="D42" i="30"/>
  <c r="A42" i="30"/>
  <c r="H41" i="30"/>
  <c r="G41" i="30"/>
  <c r="F41" i="30"/>
  <c r="E41" i="30"/>
  <c r="D41" i="30"/>
  <c r="A41" i="30"/>
  <c r="H40" i="30"/>
  <c r="G40" i="30"/>
  <c r="F40" i="30"/>
  <c r="E40" i="30"/>
  <c r="D40" i="30"/>
  <c r="A40" i="30"/>
  <c r="A39" i="30"/>
  <c r="H37" i="30"/>
  <c r="G37" i="30"/>
  <c r="F37" i="30"/>
  <c r="E37" i="30"/>
  <c r="D37" i="30"/>
  <c r="A37" i="30"/>
  <c r="H36" i="30"/>
  <c r="G36" i="30"/>
  <c r="F36" i="30"/>
  <c r="E36" i="30"/>
  <c r="D36" i="30"/>
  <c r="A36" i="30"/>
  <c r="A35" i="30"/>
  <c r="K34" i="30"/>
  <c r="J34" i="30"/>
  <c r="I34" i="30"/>
  <c r="H34" i="30"/>
  <c r="G34" i="30"/>
  <c r="F34" i="30"/>
  <c r="E34" i="30"/>
  <c r="D34" i="30"/>
  <c r="C34" i="30"/>
  <c r="A34" i="30"/>
  <c r="A33" i="30"/>
  <c r="H31" i="30"/>
  <c r="G31" i="30"/>
  <c r="F31" i="30"/>
  <c r="E31" i="30"/>
  <c r="D31" i="30"/>
  <c r="A31" i="30"/>
  <c r="H30" i="30"/>
  <c r="G30" i="30"/>
  <c r="F30" i="30"/>
  <c r="E30" i="30"/>
  <c r="D30" i="30"/>
  <c r="A30" i="30"/>
  <c r="A29" i="30"/>
  <c r="H27" i="30"/>
  <c r="G27" i="30"/>
  <c r="F27" i="30"/>
  <c r="E27" i="30"/>
  <c r="D27" i="30"/>
  <c r="A27" i="30"/>
  <c r="A26" i="30"/>
  <c r="H24" i="30"/>
  <c r="G24" i="30"/>
  <c r="F24" i="30"/>
  <c r="E24" i="30"/>
  <c r="D24" i="30"/>
  <c r="A24" i="30"/>
  <c r="H23" i="30"/>
  <c r="G23" i="30"/>
  <c r="F23" i="30"/>
  <c r="E23" i="30"/>
  <c r="D23" i="30"/>
  <c r="A23" i="30"/>
  <c r="H21" i="30"/>
  <c r="G21" i="30"/>
  <c r="F21" i="30"/>
  <c r="E21" i="30"/>
  <c r="D21" i="30"/>
  <c r="A21" i="30"/>
  <c r="A20" i="30"/>
  <c r="H18" i="30"/>
  <c r="G18" i="30"/>
  <c r="F18" i="30"/>
  <c r="E18" i="30"/>
  <c r="D18" i="30"/>
  <c r="A18" i="30"/>
  <c r="H17" i="30"/>
  <c r="G17" i="30"/>
  <c r="F17" i="30"/>
  <c r="E17" i="30"/>
  <c r="D17" i="30"/>
  <c r="A17" i="30"/>
  <c r="H16" i="30"/>
  <c r="G16" i="30"/>
  <c r="F16" i="30"/>
  <c r="E16" i="30"/>
  <c r="D16" i="30"/>
  <c r="A16" i="30"/>
  <c r="A15" i="30"/>
  <c r="H13" i="30"/>
  <c r="G13" i="30"/>
  <c r="F13" i="30"/>
  <c r="E13" i="30"/>
  <c r="D13" i="30"/>
  <c r="A13" i="30"/>
  <c r="H12" i="30"/>
  <c r="G12" i="30"/>
  <c r="F12" i="30"/>
  <c r="E12" i="30"/>
  <c r="D12" i="30"/>
  <c r="A12" i="30"/>
  <c r="A11" i="30"/>
  <c r="H9" i="30"/>
  <c r="G9" i="30"/>
  <c r="F9" i="30"/>
  <c r="E9" i="30"/>
  <c r="D9" i="30"/>
  <c r="A9" i="30"/>
  <c r="H8" i="30"/>
  <c r="G8" i="30"/>
  <c r="F8" i="30"/>
  <c r="E8" i="30"/>
  <c r="D8" i="30"/>
  <c r="A8" i="30"/>
  <c r="H7" i="30"/>
  <c r="G7" i="30"/>
  <c r="F7" i="30"/>
  <c r="E7" i="30"/>
  <c r="D7" i="30"/>
  <c r="A7" i="30"/>
  <c r="A6" i="30"/>
  <c r="U5" i="30"/>
  <c r="T5" i="30"/>
  <c r="S5" i="30"/>
  <c r="R5" i="30"/>
  <c r="Q5" i="30"/>
  <c r="P5" i="30"/>
  <c r="O5" i="30"/>
  <c r="N5" i="30"/>
  <c r="M5" i="30"/>
  <c r="L5" i="30"/>
  <c r="A5" i="30"/>
  <c r="A3" i="30"/>
  <c r="H133" i="29"/>
  <c r="G133" i="29"/>
  <c r="F133" i="29"/>
  <c r="E133" i="29"/>
  <c r="D133" i="29"/>
  <c r="A133" i="29"/>
  <c r="A132" i="29"/>
  <c r="H170" i="29"/>
  <c r="G170" i="29"/>
  <c r="F170" i="29"/>
  <c r="E170" i="29"/>
  <c r="D170" i="29"/>
  <c r="A170" i="29"/>
  <c r="H169" i="29"/>
  <c r="G169" i="29"/>
  <c r="F169" i="29"/>
  <c r="E169" i="29"/>
  <c r="D169" i="29"/>
  <c r="A169" i="29"/>
  <c r="H168" i="29"/>
  <c r="G168" i="29"/>
  <c r="F168" i="29"/>
  <c r="E168" i="29"/>
  <c r="D168" i="29"/>
  <c r="A168" i="29"/>
  <c r="H167" i="29"/>
  <c r="G167" i="29"/>
  <c r="F167" i="29"/>
  <c r="E167" i="29"/>
  <c r="D167" i="29"/>
  <c r="A167" i="29"/>
  <c r="A166" i="29"/>
  <c r="H164" i="29"/>
  <c r="G164" i="29"/>
  <c r="F164" i="29"/>
  <c r="E164" i="29"/>
  <c r="D164" i="29"/>
  <c r="A164" i="29"/>
  <c r="H163" i="29"/>
  <c r="G163" i="29"/>
  <c r="F163" i="29"/>
  <c r="E163" i="29"/>
  <c r="D163" i="29"/>
  <c r="A163" i="29"/>
  <c r="H162" i="29"/>
  <c r="G162" i="29"/>
  <c r="F162" i="29"/>
  <c r="E162" i="29"/>
  <c r="D162" i="29"/>
  <c r="A162" i="29"/>
  <c r="H161" i="29"/>
  <c r="G161" i="29"/>
  <c r="F161" i="29"/>
  <c r="E161" i="29"/>
  <c r="D161" i="29"/>
  <c r="A161" i="29"/>
  <c r="H160" i="29"/>
  <c r="G160" i="29"/>
  <c r="F160" i="29"/>
  <c r="E160" i="29"/>
  <c r="D160" i="29"/>
  <c r="A160" i="29"/>
  <c r="H159" i="29"/>
  <c r="G159" i="29"/>
  <c r="F159" i="29"/>
  <c r="E159" i="29"/>
  <c r="D159" i="29"/>
  <c r="A159" i="29"/>
  <c r="A158" i="29"/>
  <c r="H156" i="29"/>
  <c r="G156" i="29"/>
  <c r="F156" i="29"/>
  <c r="E156" i="29"/>
  <c r="D156" i="29"/>
  <c r="A156" i="29"/>
  <c r="H155" i="29"/>
  <c r="G155" i="29"/>
  <c r="F155" i="29"/>
  <c r="E155" i="29"/>
  <c r="D155" i="29"/>
  <c r="A155" i="29"/>
  <c r="H154" i="29"/>
  <c r="G154" i="29"/>
  <c r="F154" i="29"/>
  <c r="E154" i="29"/>
  <c r="D154" i="29"/>
  <c r="A154" i="29"/>
  <c r="A153" i="29"/>
  <c r="H151" i="29"/>
  <c r="G151" i="29"/>
  <c r="F151" i="29"/>
  <c r="E151" i="29"/>
  <c r="D151" i="29"/>
  <c r="A151" i="29"/>
  <c r="A150" i="29"/>
  <c r="H148" i="29"/>
  <c r="G148" i="29"/>
  <c r="F148" i="29"/>
  <c r="E148" i="29"/>
  <c r="D148" i="29"/>
  <c r="A148" i="29"/>
  <c r="A147" i="29"/>
  <c r="H145" i="29"/>
  <c r="G145" i="29"/>
  <c r="F145" i="29"/>
  <c r="E145" i="29"/>
  <c r="D145" i="29"/>
  <c r="A145" i="29"/>
  <c r="H144" i="29"/>
  <c r="G144" i="29"/>
  <c r="F144" i="29"/>
  <c r="E144" i="29"/>
  <c r="D144" i="29"/>
  <c r="A144" i="29"/>
  <c r="H143" i="29"/>
  <c r="G143" i="29"/>
  <c r="F143" i="29"/>
  <c r="E143" i="29"/>
  <c r="D143" i="29"/>
  <c r="A143" i="29"/>
  <c r="H142" i="29"/>
  <c r="G142" i="29"/>
  <c r="F142" i="29"/>
  <c r="E142" i="29"/>
  <c r="D142" i="29"/>
  <c r="A142" i="29"/>
  <c r="H141" i="29"/>
  <c r="G141" i="29"/>
  <c r="F141" i="29"/>
  <c r="E141" i="29"/>
  <c r="D141" i="29"/>
  <c r="A141" i="29"/>
  <c r="A140" i="29"/>
  <c r="H138" i="29"/>
  <c r="G138" i="29"/>
  <c r="F138" i="29"/>
  <c r="E138" i="29"/>
  <c r="D138" i="29"/>
  <c r="A138" i="29"/>
  <c r="A137" i="29"/>
  <c r="K136" i="29"/>
  <c r="J136" i="29"/>
  <c r="I136" i="29"/>
  <c r="H136" i="29"/>
  <c r="G136" i="29"/>
  <c r="F136" i="29"/>
  <c r="E136" i="29"/>
  <c r="D136" i="29"/>
  <c r="C136" i="29"/>
  <c r="A136" i="29"/>
  <c r="A135" i="29"/>
  <c r="H131" i="29"/>
  <c r="G131" i="29"/>
  <c r="F131" i="29"/>
  <c r="E131" i="29"/>
  <c r="D131" i="29"/>
  <c r="A131" i="29"/>
  <c r="H130" i="29"/>
  <c r="G130" i="29"/>
  <c r="F130" i="29"/>
  <c r="E130" i="29"/>
  <c r="D130" i="29"/>
  <c r="A130" i="29"/>
  <c r="H129" i="29"/>
  <c r="G129" i="29"/>
  <c r="F129" i="29"/>
  <c r="E129" i="29"/>
  <c r="D129" i="29"/>
  <c r="A129" i="29"/>
  <c r="H128" i="29"/>
  <c r="G128" i="29"/>
  <c r="F128" i="29"/>
  <c r="E128" i="29"/>
  <c r="D128" i="29"/>
  <c r="A128" i="29"/>
  <c r="H127" i="29"/>
  <c r="G127" i="29"/>
  <c r="F127" i="29"/>
  <c r="E127" i="29"/>
  <c r="D127" i="29"/>
  <c r="A127" i="29"/>
  <c r="H126" i="29"/>
  <c r="G126" i="29"/>
  <c r="F126" i="29"/>
  <c r="E126" i="29"/>
  <c r="D126" i="29"/>
  <c r="A126" i="29"/>
  <c r="A125" i="29"/>
  <c r="H123" i="29"/>
  <c r="G123" i="29"/>
  <c r="F123" i="29"/>
  <c r="E123" i="29"/>
  <c r="D123" i="29"/>
  <c r="A123" i="29"/>
  <c r="H122" i="29"/>
  <c r="G122" i="29"/>
  <c r="F122" i="29"/>
  <c r="E122" i="29"/>
  <c r="D122" i="29"/>
  <c r="A122" i="29"/>
  <c r="H120" i="29"/>
  <c r="G120" i="29"/>
  <c r="F120" i="29"/>
  <c r="E120" i="29"/>
  <c r="D120" i="29"/>
  <c r="A120" i="29"/>
  <c r="H119" i="29"/>
  <c r="G119" i="29"/>
  <c r="F119" i="29"/>
  <c r="E119" i="29"/>
  <c r="D119" i="29"/>
  <c r="A119" i="29"/>
  <c r="H118" i="29"/>
  <c r="G118" i="29"/>
  <c r="F118" i="29"/>
  <c r="E118" i="29"/>
  <c r="D118" i="29"/>
  <c r="A118" i="29"/>
  <c r="H117" i="29"/>
  <c r="G117" i="29"/>
  <c r="F117" i="29"/>
  <c r="E117" i="29"/>
  <c r="D117" i="29"/>
  <c r="A117" i="29"/>
  <c r="A116" i="29"/>
  <c r="H113" i="29"/>
  <c r="G113" i="29"/>
  <c r="F113" i="29"/>
  <c r="E113" i="29"/>
  <c r="D113" i="29"/>
  <c r="A113" i="29"/>
  <c r="A112" i="29"/>
  <c r="K111" i="29"/>
  <c r="J111" i="29"/>
  <c r="I111" i="29"/>
  <c r="H111" i="29"/>
  <c r="G111" i="29"/>
  <c r="F111" i="29"/>
  <c r="E111" i="29"/>
  <c r="D111" i="29"/>
  <c r="C111" i="29"/>
  <c r="A111" i="29"/>
  <c r="A110" i="29"/>
  <c r="H108" i="29"/>
  <c r="G108" i="29"/>
  <c r="F108" i="29"/>
  <c r="E108" i="29"/>
  <c r="D108" i="29"/>
  <c r="H106" i="29"/>
  <c r="G106" i="29"/>
  <c r="F106" i="29"/>
  <c r="E106" i="29"/>
  <c r="D106" i="29"/>
  <c r="H105" i="29"/>
  <c r="G105" i="29"/>
  <c r="F105" i="29"/>
  <c r="E105" i="29"/>
  <c r="D105" i="29"/>
  <c r="H104" i="29"/>
  <c r="G104" i="29"/>
  <c r="F104" i="29"/>
  <c r="E104" i="29"/>
  <c r="D104" i="29"/>
  <c r="H103" i="29"/>
  <c r="G103" i="29"/>
  <c r="F103" i="29"/>
  <c r="E103" i="29"/>
  <c r="D103" i="29"/>
  <c r="H102" i="29"/>
  <c r="G102" i="29"/>
  <c r="F102" i="29"/>
  <c r="E102" i="29"/>
  <c r="D102" i="29"/>
  <c r="H101" i="29"/>
  <c r="G101" i="29"/>
  <c r="F101" i="29"/>
  <c r="E101" i="29"/>
  <c r="D101" i="29"/>
  <c r="H100" i="29"/>
  <c r="G100" i="29"/>
  <c r="F100" i="29"/>
  <c r="E100" i="29"/>
  <c r="D100" i="29"/>
  <c r="H99" i="29"/>
  <c r="G99" i="29"/>
  <c r="F99" i="29"/>
  <c r="E99" i="29"/>
  <c r="D99" i="29"/>
  <c r="H98" i="29"/>
  <c r="G98" i="29"/>
  <c r="F98" i="29"/>
  <c r="E98" i="29"/>
  <c r="D98" i="29"/>
  <c r="H97" i="29"/>
  <c r="G97" i="29"/>
  <c r="F97" i="29"/>
  <c r="E97" i="29"/>
  <c r="D97" i="29"/>
  <c r="H96" i="29"/>
  <c r="G96" i="29"/>
  <c r="F96" i="29"/>
  <c r="E96" i="29"/>
  <c r="D96" i="29"/>
  <c r="H95" i="29"/>
  <c r="G95" i="29"/>
  <c r="F95" i="29"/>
  <c r="E95" i="29"/>
  <c r="D95" i="29"/>
  <c r="H94" i="29"/>
  <c r="G94" i="29"/>
  <c r="F94" i="29"/>
  <c r="E94" i="29"/>
  <c r="D94" i="29"/>
  <c r="H87" i="29"/>
  <c r="G87" i="29"/>
  <c r="F87" i="29"/>
  <c r="E87" i="29"/>
  <c r="D87" i="29"/>
  <c r="A87" i="29"/>
  <c r="H86" i="29"/>
  <c r="G86" i="29"/>
  <c r="F86" i="29"/>
  <c r="E86" i="29"/>
  <c r="D86" i="29"/>
  <c r="A86" i="29"/>
  <c r="A85" i="29"/>
  <c r="H83" i="29"/>
  <c r="G83" i="29"/>
  <c r="F83" i="29"/>
  <c r="E83" i="29"/>
  <c r="D83" i="29"/>
  <c r="A83" i="29"/>
  <c r="H82" i="29"/>
  <c r="G82" i="29"/>
  <c r="F82" i="29"/>
  <c r="E82" i="29"/>
  <c r="D82" i="29"/>
  <c r="A82" i="29"/>
  <c r="H81" i="29"/>
  <c r="G81" i="29"/>
  <c r="F81" i="29"/>
  <c r="E81" i="29"/>
  <c r="D81" i="29"/>
  <c r="A81" i="29"/>
  <c r="A80" i="29"/>
  <c r="H78" i="29"/>
  <c r="G78" i="29"/>
  <c r="F78" i="29"/>
  <c r="E78" i="29"/>
  <c r="D78" i="29"/>
  <c r="U77" i="29"/>
  <c r="T77" i="29"/>
  <c r="S77" i="29"/>
  <c r="R77" i="29"/>
  <c r="Q77" i="29"/>
  <c r="P77" i="29"/>
  <c r="O77" i="29"/>
  <c r="N77" i="29"/>
  <c r="M77" i="29"/>
  <c r="L77" i="29"/>
  <c r="H77" i="29"/>
  <c r="G77" i="29"/>
  <c r="F77" i="29"/>
  <c r="E77" i="29"/>
  <c r="D77" i="29"/>
  <c r="H74" i="29"/>
  <c r="G74" i="29"/>
  <c r="F74" i="29"/>
  <c r="E74" i="29"/>
  <c r="D74" i="29"/>
  <c r="H73" i="29"/>
  <c r="G73" i="29"/>
  <c r="F73" i="29"/>
  <c r="E73" i="29"/>
  <c r="D73" i="29"/>
  <c r="A73" i="29"/>
  <c r="A72" i="29"/>
  <c r="H70" i="29"/>
  <c r="G70" i="29"/>
  <c r="F70" i="29"/>
  <c r="E70" i="29"/>
  <c r="D70" i="29"/>
  <c r="A70" i="29"/>
  <c r="H69" i="29"/>
  <c r="G69" i="29"/>
  <c r="F69" i="29"/>
  <c r="E69" i="29"/>
  <c r="D69" i="29"/>
  <c r="A69" i="29"/>
  <c r="H68" i="29"/>
  <c r="G68" i="29"/>
  <c r="F68" i="29"/>
  <c r="E68" i="29"/>
  <c r="D68" i="29"/>
  <c r="A68" i="29"/>
  <c r="A67" i="29"/>
  <c r="H65" i="29"/>
  <c r="G65" i="29"/>
  <c r="F65" i="29"/>
  <c r="E65" i="29"/>
  <c r="D65" i="29"/>
  <c r="A65" i="29"/>
  <c r="H64" i="29"/>
  <c r="G64" i="29"/>
  <c r="F64" i="29"/>
  <c r="E64" i="29"/>
  <c r="D64" i="29"/>
  <c r="A64" i="29"/>
  <c r="H63" i="29"/>
  <c r="G63" i="29"/>
  <c r="F63" i="29"/>
  <c r="E63" i="29"/>
  <c r="D63" i="29"/>
  <c r="A63" i="29"/>
  <c r="H62" i="29"/>
  <c r="G62" i="29"/>
  <c r="F62" i="29"/>
  <c r="E62" i="29"/>
  <c r="D62" i="29"/>
  <c r="A62" i="29"/>
  <c r="H60" i="29"/>
  <c r="G60" i="29"/>
  <c r="F60" i="29"/>
  <c r="E60" i="29"/>
  <c r="D60" i="29"/>
  <c r="A60" i="29"/>
  <c r="H59" i="29"/>
  <c r="G59" i="29"/>
  <c r="F59" i="29"/>
  <c r="E59" i="29"/>
  <c r="D59" i="29"/>
  <c r="A59" i="29"/>
  <c r="H58" i="29"/>
  <c r="G58" i="29"/>
  <c r="F58" i="29"/>
  <c r="E58" i="29"/>
  <c r="D58" i="29"/>
  <c r="A58" i="29"/>
  <c r="H57" i="29"/>
  <c r="G57" i="29"/>
  <c r="F57" i="29"/>
  <c r="E57" i="29"/>
  <c r="D57" i="29"/>
  <c r="A57" i="29"/>
  <c r="H56" i="29"/>
  <c r="G56" i="29"/>
  <c r="F56" i="29"/>
  <c r="E56" i="29"/>
  <c r="D56" i="29"/>
  <c r="A56" i="29"/>
  <c r="A55" i="29"/>
  <c r="K54" i="29"/>
  <c r="J54" i="29"/>
  <c r="I54" i="29"/>
  <c r="H54" i="29"/>
  <c r="G54" i="29"/>
  <c r="F54" i="29"/>
  <c r="E54" i="29"/>
  <c r="D54" i="29"/>
  <c r="C54" i="29"/>
  <c r="A54" i="29"/>
  <c r="A53" i="29"/>
  <c r="H51" i="29"/>
  <c r="G51" i="29"/>
  <c r="F51" i="29"/>
  <c r="E51" i="29"/>
  <c r="D51" i="29"/>
  <c r="H50" i="29"/>
  <c r="G50" i="29"/>
  <c r="F50" i="29"/>
  <c r="E50" i="29"/>
  <c r="D50" i="29"/>
  <c r="H47" i="29"/>
  <c r="G47" i="29"/>
  <c r="F47" i="29"/>
  <c r="E47" i="29"/>
  <c r="D47" i="29"/>
  <c r="A46" i="29"/>
  <c r="H45" i="29"/>
  <c r="G45" i="29"/>
  <c r="F45" i="29"/>
  <c r="E45" i="29"/>
  <c r="D45" i="29"/>
  <c r="A45" i="29"/>
  <c r="H44" i="29"/>
  <c r="G44" i="29"/>
  <c r="F44" i="29"/>
  <c r="E44" i="29"/>
  <c r="D44" i="29"/>
  <c r="A44" i="29"/>
  <c r="H43" i="29"/>
  <c r="G43" i="29"/>
  <c r="F43" i="29"/>
  <c r="E43" i="29"/>
  <c r="D43" i="29"/>
  <c r="A43" i="29"/>
  <c r="H42" i="29"/>
  <c r="G42" i="29"/>
  <c r="F42" i="29"/>
  <c r="E42" i="29"/>
  <c r="D42" i="29"/>
  <c r="A42" i="29"/>
  <c r="H41" i="29"/>
  <c r="G41" i="29"/>
  <c r="F41" i="29"/>
  <c r="E41" i="29"/>
  <c r="D41" i="29"/>
  <c r="A41" i="29"/>
  <c r="H40" i="29"/>
  <c r="G40" i="29"/>
  <c r="F40" i="29"/>
  <c r="E40" i="29"/>
  <c r="D40" i="29"/>
  <c r="A40" i="29"/>
  <c r="A39" i="29"/>
  <c r="H37" i="29"/>
  <c r="G37" i="29"/>
  <c r="F37" i="29"/>
  <c r="E37" i="29"/>
  <c r="D37" i="29"/>
  <c r="A37" i="29"/>
  <c r="H36" i="29"/>
  <c r="G36" i="29"/>
  <c r="F36" i="29"/>
  <c r="E36" i="29"/>
  <c r="D36" i="29"/>
  <c r="A36" i="29"/>
  <c r="A35" i="29"/>
  <c r="K34" i="29"/>
  <c r="J34" i="29"/>
  <c r="I34" i="29"/>
  <c r="H34" i="29"/>
  <c r="G34" i="29"/>
  <c r="F34" i="29"/>
  <c r="E34" i="29"/>
  <c r="D34" i="29"/>
  <c r="C34" i="29"/>
  <c r="A34" i="29"/>
  <c r="A33" i="29"/>
  <c r="H31" i="29"/>
  <c r="G31" i="29"/>
  <c r="F31" i="29"/>
  <c r="E31" i="29"/>
  <c r="D31" i="29"/>
  <c r="A31" i="29"/>
  <c r="H30" i="29"/>
  <c r="G30" i="29"/>
  <c r="F30" i="29"/>
  <c r="E30" i="29"/>
  <c r="D30" i="29"/>
  <c r="A30" i="29"/>
  <c r="A29" i="29"/>
  <c r="H27" i="29"/>
  <c r="G27" i="29"/>
  <c r="F27" i="29"/>
  <c r="E27" i="29"/>
  <c r="D27" i="29"/>
  <c r="A27" i="29"/>
  <c r="A26" i="29"/>
  <c r="H24" i="29"/>
  <c r="G24" i="29"/>
  <c r="F24" i="29"/>
  <c r="E24" i="29"/>
  <c r="D24" i="29"/>
  <c r="A24" i="29"/>
  <c r="H23" i="29"/>
  <c r="G23" i="29"/>
  <c r="F23" i="29"/>
  <c r="E23" i="29"/>
  <c r="D23" i="29"/>
  <c r="A23" i="29"/>
  <c r="H21" i="29"/>
  <c r="G21" i="29"/>
  <c r="F21" i="29"/>
  <c r="E21" i="29"/>
  <c r="D21" i="29"/>
  <c r="A21" i="29"/>
  <c r="A20" i="29"/>
  <c r="H18" i="29"/>
  <c r="G18" i="29"/>
  <c r="F18" i="29"/>
  <c r="E18" i="29"/>
  <c r="D18" i="29"/>
  <c r="A18" i="29"/>
  <c r="H17" i="29"/>
  <c r="G17" i="29"/>
  <c r="F17" i="29"/>
  <c r="E17" i="29"/>
  <c r="D17" i="29"/>
  <c r="A17" i="29"/>
  <c r="H16" i="29"/>
  <c r="G16" i="29"/>
  <c r="F16" i="29"/>
  <c r="E16" i="29"/>
  <c r="D16" i="29"/>
  <c r="A16" i="29"/>
  <c r="A15" i="29"/>
  <c r="H13" i="29"/>
  <c r="G13" i="29"/>
  <c r="F13" i="29"/>
  <c r="E13" i="29"/>
  <c r="D13" i="29"/>
  <c r="A13" i="29"/>
  <c r="H12" i="29"/>
  <c r="G12" i="29"/>
  <c r="F12" i="29"/>
  <c r="E12" i="29"/>
  <c r="D12" i="29"/>
  <c r="A12" i="29"/>
  <c r="A11" i="29"/>
  <c r="H9" i="29"/>
  <c r="G9" i="29"/>
  <c r="F9" i="29"/>
  <c r="E9" i="29"/>
  <c r="D9" i="29"/>
  <c r="A9" i="29"/>
  <c r="H8" i="29"/>
  <c r="G8" i="29"/>
  <c r="F8" i="29"/>
  <c r="E8" i="29"/>
  <c r="D8" i="29"/>
  <c r="A8" i="29"/>
  <c r="H7" i="29"/>
  <c r="G7" i="29"/>
  <c r="F7" i="29"/>
  <c r="E7" i="29"/>
  <c r="D7" i="29"/>
  <c r="A7" i="29"/>
  <c r="A6" i="29"/>
  <c r="U5" i="29"/>
  <c r="T5" i="29"/>
  <c r="S5" i="29"/>
  <c r="R5" i="29"/>
  <c r="Q5" i="29"/>
  <c r="P5" i="29"/>
  <c r="O5" i="29"/>
  <c r="N5" i="29"/>
  <c r="M5" i="29"/>
  <c r="A5" i="29"/>
  <c r="A3" i="29"/>
  <c r="H133" i="28"/>
  <c r="G133" i="28"/>
  <c r="F133" i="28"/>
  <c r="E133" i="28"/>
  <c r="D133" i="28"/>
  <c r="A133" i="28"/>
  <c r="A132" i="28"/>
  <c r="H170" i="28"/>
  <c r="G170" i="28"/>
  <c r="F170" i="28"/>
  <c r="E170" i="28"/>
  <c r="D170" i="28"/>
  <c r="A170" i="28"/>
  <c r="H169" i="28"/>
  <c r="G169" i="28"/>
  <c r="F169" i="28"/>
  <c r="E169" i="28"/>
  <c r="D169" i="28"/>
  <c r="A169" i="28"/>
  <c r="H168" i="28"/>
  <c r="G168" i="28"/>
  <c r="F168" i="28"/>
  <c r="E168" i="28"/>
  <c r="D168" i="28"/>
  <c r="A168" i="28"/>
  <c r="H167" i="28"/>
  <c r="G167" i="28"/>
  <c r="F167" i="28"/>
  <c r="E167" i="28"/>
  <c r="D167" i="28"/>
  <c r="A167" i="28"/>
  <c r="A166" i="28"/>
  <c r="H164" i="28"/>
  <c r="G164" i="28"/>
  <c r="F164" i="28"/>
  <c r="E164" i="28"/>
  <c r="D164" i="28"/>
  <c r="A164" i="28"/>
  <c r="H163" i="28"/>
  <c r="G163" i="28"/>
  <c r="F163" i="28"/>
  <c r="E163" i="28"/>
  <c r="D163" i="28"/>
  <c r="A163" i="28"/>
  <c r="H162" i="28"/>
  <c r="G162" i="28"/>
  <c r="F162" i="28"/>
  <c r="E162" i="28"/>
  <c r="D162" i="28"/>
  <c r="A162" i="28"/>
  <c r="H161" i="28"/>
  <c r="G161" i="28"/>
  <c r="F161" i="28"/>
  <c r="E161" i="28"/>
  <c r="D161" i="28"/>
  <c r="A161" i="28"/>
  <c r="H160" i="28"/>
  <c r="G160" i="28"/>
  <c r="F160" i="28"/>
  <c r="E160" i="28"/>
  <c r="D160" i="28"/>
  <c r="A160" i="28"/>
  <c r="H159" i="28"/>
  <c r="G159" i="28"/>
  <c r="F159" i="28"/>
  <c r="E159" i="28"/>
  <c r="D159" i="28"/>
  <c r="A159" i="28"/>
  <c r="A158" i="28"/>
  <c r="H156" i="28"/>
  <c r="G156" i="28"/>
  <c r="F156" i="28"/>
  <c r="E156" i="28"/>
  <c r="D156" i="28"/>
  <c r="A156" i="28"/>
  <c r="H155" i="28"/>
  <c r="G155" i="28"/>
  <c r="F155" i="28"/>
  <c r="E155" i="28"/>
  <c r="D155" i="28"/>
  <c r="A155" i="28"/>
  <c r="H154" i="28"/>
  <c r="G154" i="28"/>
  <c r="F154" i="28"/>
  <c r="E154" i="28"/>
  <c r="D154" i="28"/>
  <c r="A154" i="28"/>
  <c r="A153" i="28"/>
  <c r="H151" i="28"/>
  <c r="G151" i="28"/>
  <c r="F151" i="28"/>
  <c r="E151" i="28"/>
  <c r="D151" i="28"/>
  <c r="A151" i="28"/>
  <c r="A150" i="28"/>
  <c r="H148" i="28"/>
  <c r="G148" i="28"/>
  <c r="F148" i="28"/>
  <c r="E148" i="28"/>
  <c r="D148" i="28"/>
  <c r="A148" i="28"/>
  <c r="A147" i="28"/>
  <c r="H145" i="28"/>
  <c r="G145" i="28"/>
  <c r="F145" i="28"/>
  <c r="E145" i="28"/>
  <c r="D145" i="28"/>
  <c r="A145" i="28"/>
  <c r="H144" i="28"/>
  <c r="G144" i="28"/>
  <c r="F144" i="28"/>
  <c r="E144" i="28"/>
  <c r="D144" i="28"/>
  <c r="A144" i="28"/>
  <c r="H143" i="28"/>
  <c r="G143" i="28"/>
  <c r="F143" i="28"/>
  <c r="E143" i="28"/>
  <c r="D143" i="28"/>
  <c r="A143" i="28"/>
  <c r="H142" i="28"/>
  <c r="G142" i="28"/>
  <c r="F142" i="28"/>
  <c r="E142" i="28"/>
  <c r="D142" i="28"/>
  <c r="A142" i="28"/>
  <c r="H141" i="28"/>
  <c r="G141" i="28"/>
  <c r="F141" i="28"/>
  <c r="E141" i="28"/>
  <c r="D141" i="28"/>
  <c r="A141" i="28"/>
  <c r="A140" i="28"/>
  <c r="H138" i="28"/>
  <c r="G138" i="28"/>
  <c r="F138" i="28"/>
  <c r="E138" i="28"/>
  <c r="D138" i="28"/>
  <c r="A138" i="28"/>
  <c r="A137" i="28"/>
  <c r="K136" i="28"/>
  <c r="J136" i="28"/>
  <c r="I136" i="28"/>
  <c r="H136" i="28"/>
  <c r="G136" i="28"/>
  <c r="F136" i="28"/>
  <c r="E136" i="28"/>
  <c r="D136" i="28"/>
  <c r="C136" i="28"/>
  <c r="A136" i="28"/>
  <c r="A135" i="28"/>
  <c r="H131" i="28"/>
  <c r="G131" i="28"/>
  <c r="F131" i="28"/>
  <c r="E131" i="28"/>
  <c r="D131" i="28"/>
  <c r="A131" i="28"/>
  <c r="H130" i="28"/>
  <c r="G130" i="28"/>
  <c r="F130" i="28"/>
  <c r="E130" i="28"/>
  <c r="D130" i="28"/>
  <c r="A130" i="28"/>
  <c r="H129" i="28"/>
  <c r="G129" i="28"/>
  <c r="F129" i="28"/>
  <c r="E129" i="28"/>
  <c r="D129" i="28"/>
  <c r="A129" i="28"/>
  <c r="H128" i="28"/>
  <c r="G128" i="28"/>
  <c r="F128" i="28"/>
  <c r="E128" i="28"/>
  <c r="D128" i="28"/>
  <c r="A128" i="28"/>
  <c r="H127" i="28"/>
  <c r="G127" i="28"/>
  <c r="F127" i="28"/>
  <c r="E127" i="28"/>
  <c r="D127" i="28"/>
  <c r="A127" i="28"/>
  <c r="H126" i="28"/>
  <c r="G126" i="28"/>
  <c r="F126" i="28"/>
  <c r="E126" i="28"/>
  <c r="D126" i="28"/>
  <c r="A126" i="28"/>
  <c r="A125" i="28"/>
  <c r="H123" i="28"/>
  <c r="G123" i="28"/>
  <c r="F123" i="28"/>
  <c r="E123" i="28"/>
  <c r="D123" i="28"/>
  <c r="A123" i="28"/>
  <c r="H122" i="28"/>
  <c r="G122" i="28"/>
  <c r="F122" i="28"/>
  <c r="E122" i="28"/>
  <c r="D122" i="28"/>
  <c r="A122" i="28"/>
  <c r="H120" i="28"/>
  <c r="G120" i="28"/>
  <c r="F120" i="28"/>
  <c r="E120" i="28"/>
  <c r="D120" i="28"/>
  <c r="A120" i="28"/>
  <c r="H119" i="28"/>
  <c r="G119" i="28"/>
  <c r="F119" i="28"/>
  <c r="E119" i="28"/>
  <c r="D119" i="28"/>
  <c r="A119" i="28"/>
  <c r="H118" i="28"/>
  <c r="G118" i="28"/>
  <c r="F118" i="28"/>
  <c r="E118" i="28"/>
  <c r="D118" i="28"/>
  <c r="A118" i="28"/>
  <c r="H117" i="28"/>
  <c r="G117" i="28"/>
  <c r="F117" i="28"/>
  <c r="E117" i="28"/>
  <c r="D117" i="28"/>
  <c r="A117" i="28"/>
  <c r="A116" i="28"/>
  <c r="H113" i="28"/>
  <c r="G113" i="28"/>
  <c r="F113" i="28"/>
  <c r="E113" i="28"/>
  <c r="D113" i="28"/>
  <c r="A113" i="28"/>
  <c r="A112" i="28"/>
  <c r="K111" i="28"/>
  <c r="J111" i="28"/>
  <c r="I111" i="28"/>
  <c r="H111" i="28"/>
  <c r="G111" i="28"/>
  <c r="F111" i="28"/>
  <c r="E111" i="28"/>
  <c r="D111" i="28"/>
  <c r="C111" i="28"/>
  <c r="A111" i="28"/>
  <c r="A110" i="28"/>
  <c r="H108" i="28"/>
  <c r="G108" i="28"/>
  <c r="F108" i="28"/>
  <c r="E108" i="28"/>
  <c r="D108" i="28"/>
  <c r="H106" i="28"/>
  <c r="G106" i="28"/>
  <c r="F106" i="28"/>
  <c r="E106" i="28"/>
  <c r="D106" i="28"/>
  <c r="H105" i="28"/>
  <c r="G105" i="28"/>
  <c r="F105" i="28"/>
  <c r="E105" i="28"/>
  <c r="D105" i="28"/>
  <c r="H104" i="28"/>
  <c r="G104" i="28"/>
  <c r="F104" i="28"/>
  <c r="E104" i="28"/>
  <c r="D104" i="28"/>
  <c r="H103" i="28"/>
  <c r="G103" i="28"/>
  <c r="F103" i="28"/>
  <c r="E103" i="28"/>
  <c r="D103" i="28"/>
  <c r="H102" i="28"/>
  <c r="G102" i="28"/>
  <c r="F102" i="28"/>
  <c r="E102" i="28"/>
  <c r="D102" i="28"/>
  <c r="H101" i="28"/>
  <c r="G101" i="28"/>
  <c r="F101" i="28"/>
  <c r="E101" i="28"/>
  <c r="D101" i="28"/>
  <c r="H100" i="28"/>
  <c r="G100" i="28"/>
  <c r="F100" i="28"/>
  <c r="E100" i="28"/>
  <c r="D100" i="28"/>
  <c r="H99" i="28"/>
  <c r="G99" i="28"/>
  <c r="F99" i="28"/>
  <c r="E99" i="28"/>
  <c r="D99" i="28"/>
  <c r="H98" i="28"/>
  <c r="G98" i="28"/>
  <c r="F98" i="28"/>
  <c r="E98" i="28"/>
  <c r="D98" i="28"/>
  <c r="H97" i="28"/>
  <c r="G97" i="28"/>
  <c r="F97" i="28"/>
  <c r="E97" i="28"/>
  <c r="D97" i="28"/>
  <c r="H96" i="28"/>
  <c r="G96" i="28"/>
  <c r="F96" i="28"/>
  <c r="E96" i="28"/>
  <c r="D96" i="28"/>
  <c r="H95" i="28"/>
  <c r="G95" i="28"/>
  <c r="F95" i="28"/>
  <c r="E95" i="28"/>
  <c r="D95" i="28"/>
  <c r="H94" i="28"/>
  <c r="G94" i="28"/>
  <c r="F94" i="28"/>
  <c r="E94" i="28"/>
  <c r="D94" i="28"/>
  <c r="H87" i="28"/>
  <c r="G87" i="28"/>
  <c r="F87" i="28"/>
  <c r="E87" i="28"/>
  <c r="D87" i="28"/>
  <c r="A87" i="28"/>
  <c r="H86" i="28"/>
  <c r="G86" i="28"/>
  <c r="F86" i="28"/>
  <c r="E86" i="28"/>
  <c r="D86" i="28"/>
  <c r="A86" i="28"/>
  <c r="A85" i="28"/>
  <c r="H83" i="28"/>
  <c r="G83" i="28"/>
  <c r="F83" i="28"/>
  <c r="E83" i="28"/>
  <c r="D83" i="28"/>
  <c r="A83" i="28"/>
  <c r="H82" i="28"/>
  <c r="G82" i="28"/>
  <c r="F82" i="28"/>
  <c r="E82" i="28"/>
  <c r="D82" i="28"/>
  <c r="A82" i="28"/>
  <c r="H81" i="28"/>
  <c r="G81" i="28"/>
  <c r="F81" i="28"/>
  <c r="E81" i="28"/>
  <c r="D81" i="28"/>
  <c r="A81" i="28"/>
  <c r="A80" i="28"/>
  <c r="H78" i="28"/>
  <c r="G78" i="28"/>
  <c r="F78" i="28"/>
  <c r="E78" i="28"/>
  <c r="D78" i="28"/>
  <c r="U77" i="28"/>
  <c r="T77" i="28"/>
  <c r="S77" i="28"/>
  <c r="R77" i="28"/>
  <c r="Q77" i="28"/>
  <c r="P77" i="28"/>
  <c r="O77" i="28"/>
  <c r="N77" i="28"/>
  <c r="M77" i="28"/>
  <c r="L77" i="28"/>
  <c r="H77" i="28"/>
  <c r="G77" i="28"/>
  <c r="F77" i="28"/>
  <c r="E77" i="28"/>
  <c r="D77" i="28"/>
  <c r="H74" i="28"/>
  <c r="G74" i="28"/>
  <c r="F74" i="28"/>
  <c r="E74" i="28"/>
  <c r="D74" i="28"/>
  <c r="H73" i="28"/>
  <c r="G73" i="28"/>
  <c r="F73" i="28"/>
  <c r="E73" i="28"/>
  <c r="D73" i="28"/>
  <c r="A73" i="28"/>
  <c r="A72" i="28"/>
  <c r="H70" i="28"/>
  <c r="G70" i="28"/>
  <c r="F70" i="28"/>
  <c r="E70" i="28"/>
  <c r="D70" i="28"/>
  <c r="A70" i="28"/>
  <c r="H69" i="28"/>
  <c r="G69" i="28"/>
  <c r="F69" i="28"/>
  <c r="E69" i="28"/>
  <c r="D69" i="28"/>
  <c r="A69" i="28"/>
  <c r="H68" i="28"/>
  <c r="G68" i="28"/>
  <c r="F68" i="28"/>
  <c r="E68" i="28"/>
  <c r="D68" i="28"/>
  <c r="A68" i="28"/>
  <c r="A67" i="28"/>
  <c r="H65" i="28"/>
  <c r="G65" i="28"/>
  <c r="F65" i="28"/>
  <c r="E65" i="28"/>
  <c r="D65" i="28"/>
  <c r="A65" i="28"/>
  <c r="H64" i="28"/>
  <c r="G64" i="28"/>
  <c r="F64" i="28"/>
  <c r="E64" i="28"/>
  <c r="D64" i="28"/>
  <c r="A64" i="28"/>
  <c r="H63" i="28"/>
  <c r="G63" i="28"/>
  <c r="F63" i="28"/>
  <c r="E63" i="28"/>
  <c r="D63" i="28"/>
  <c r="A63" i="28"/>
  <c r="H62" i="28"/>
  <c r="G62" i="28"/>
  <c r="F62" i="28"/>
  <c r="E62" i="28"/>
  <c r="D62" i="28"/>
  <c r="A62" i="28"/>
  <c r="H60" i="28"/>
  <c r="G60" i="28"/>
  <c r="F60" i="28"/>
  <c r="E60" i="28"/>
  <c r="D60" i="28"/>
  <c r="A60" i="28"/>
  <c r="H59" i="28"/>
  <c r="G59" i="28"/>
  <c r="F59" i="28"/>
  <c r="E59" i="28"/>
  <c r="D59" i="28"/>
  <c r="A59" i="28"/>
  <c r="H58" i="28"/>
  <c r="G58" i="28"/>
  <c r="F58" i="28"/>
  <c r="E58" i="28"/>
  <c r="D58" i="28"/>
  <c r="A58" i="28"/>
  <c r="H57" i="28"/>
  <c r="G57" i="28"/>
  <c r="F57" i="28"/>
  <c r="E57" i="28"/>
  <c r="D57" i="28"/>
  <c r="A57" i="28"/>
  <c r="H56" i="28"/>
  <c r="G56" i="28"/>
  <c r="F56" i="28"/>
  <c r="E56" i="28"/>
  <c r="D56" i="28"/>
  <c r="A56" i="28"/>
  <c r="A55" i="28"/>
  <c r="K54" i="28"/>
  <c r="J54" i="28"/>
  <c r="I54" i="28"/>
  <c r="H54" i="28"/>
  <c r="G54" i="28"/>
  <c r="F54" i="28"/>
  <c r="E54" i="28"/>
  <c r="D54" i="28"/>
  <c r="C54" i="28"/>
  <c r="A54" i="28"/>
  <c r="A53" i="28"/>
  <c r="H51" i="28"/>
  <c r="G51" i="28"/>
  <c r="F51" i="28"/>
  <c r="E51" i="28"/>
  <c r="D51" i="28"/>
  <c r="H50" i="28"/>
  <c r="G50" i="28"/>
  <c r="F50" i="28"/>
  <c r="E50" i="28"/>
  <c r="D50" i="28"/>
  <c r="H47" i="28"/>
  <c r="G47" i="28"/>
  <c r="F47" i="28"/>
  <c r="E47" i="28"/>
  <c r="D47" i="28"/>
  <c r="A46" i="28"/>
  <c r="H45" i="28"/>
  <c r="G45" i="28"/>
  <c r="F45" i="28"/>
  <c r="E45" i="28"/>
  <c r="D45" i="28"/>
  <c r="A45" i="28"/>
  <c r="H44" i="28"/>
  <c r="G44" i="28"/>
  <c r="F44" i="28"/>
  <c r="E44" i="28"/>
  <c r="D44" i="28"/>
  <c r="A44" i="28"/>
  <c r="H43" i="28"/>
  <c r="G43" i="28"/>
  <c r="F43" i="28"/>
  <c r="E43" i="28"/>
  <c r="D43" i="28"/>
  <c r="A43" i="28"/>
  <c r="H42" i="28"/>
  <c r="G42" i="28"/>
  <c r="F42" i="28"/>
  <c r="E42" i="28"/>
  <c r="D42" i="28"/>
  <c r="A42" i="28"/>
  <c r="H41" i="28"/>
  <c r="G41" i="28"/>
  <c r="F41" i="28"/>
  <c r="E41" i="28"/>
  <c r="D41" i="28"/>
  <c r="A41" i="28"/>
  <c r="H40" i="28"/>
  <c r="G40" i="28"/>
  <c r="F40" i="28"/>
  <c r="E40" i="28"/>
  <c r="D40" i="28"/>
  <c r="A40" i="28"/>
  <c r="A39" i="28"/>
  <c r="H37" i="28"/>
  <c r="G37" i="28"/>
  <c r="F37" i="28"/>
  <c r="E37" i="28"/>
  <c r="D37" i="28"/>
  <c r="A37" i="28"/>
  <c r="H36" i="28"/>
  <c r="G36" i="28"/>
  <c r="F36" i="28"/>
  <c r="E36" i="28"/>
  <c r="D36" i="28"/>
  <c r="A36" i="28"/>
  <c r="A35" i="28"/>
  <c r="K34" i="28"/>
  <c r="J34" i="28"/>
  <c r="I34" i="28"/>
  <c r="H34" i="28"/>
  <c r="G34" i="28"/>
  <c r="F34" i="28"/>
  <c r="E34" i="28"/>
  <c r="D34" i="28"/>
  <c r="C34" i="28"/>
  <c r="A34" i="28"/>
  <c r="A33" i="28"/>
  <c r="H31" i="28"/>
  <c r="G31" i="28"/>
  <c r="F31" i="28"/>
  <c r="E31" i="28"/>
  <c r="D31" i="28"/>
  <c r="A31" i="28"/>
  <c r="H30" i="28"/>
  <c r="G30" i="28"/>
  <c r="F30" i="28"/>
  <c r="E30" i="28"/>
  <c r="D30" i="28"/>
  <c r="A30" i="28"/>
  <c r="A29" i="28"/>
  <c r="H27" i="28"/>
  <c r="G27" i="28"/>
  <c r="F27" i="28"/>
  <c r="E27" i="28"/>
  <c r="D27" i="28"/>
  <c r="A27" i="28"/>
  <c r="A26" i="28"/>
  <c r="H24" i="28"/>
  <c r="G24" i="28"/>
  <c r="F24" i="28"/>
  <c r="E24" i="28"/>
  <c r="D24" i="28"/>
  <c r="A24" i="28"/>
  <c r="H23" i="28"/>
  <c r="G23" i="28"/>
  <c r="F23" i="28"/>
  <c r="E23" i="28"/>
  <c r="D23" i="28"/>
  <c r="A23" i="28"/>
  <c r="H21" i="28"/>
  <c r="G21" i="28"/>
  <c r="F21" i="28"/>
  <c r="E21" i="28"/>
  <c r="D21" i="28"/>
  <c r="A21" i="28"/>
  <c r="A20" i="28"/>
  <c r="H18" i="28"/>
  <c r="G18" i="28"/>
  <c r="F18" i="28"/>
  <c r="E18" i="28"/>
  <c r="D18" i="28"/>
  <c r="A18" i="28"/>
  <c r="H17" i="28"/>
  <c r="G17" i="28"/>
  <c r="F17" i="28"/>
  <c r="E17" i="28"/>
  <c r="D17" i="28"/>
  <c r="A17" i="28"/>
  <c r="H16" i="28"/>
  <c r="G16" i="28"/>
  <c r="F16" i="28"/>
  <c r="E16" i="28"/>
  <c r="D16" i="28"/>
  <c r="A16" i="28"/>
  <c r="A15" i="28"/>
  <c r="H13" i="28"/>
  <c r="G13" i="28"/>
  <c r="F13" i="28"/>
  <c r="E13" i="28"/>
  <c r="D13" i="28"/>
  <c r="A13" i="28"/>
  <c r="H12" i="28"/>
  <c r="G12" i="28"/>
  <c r="F12" i="28"/>
  <c r="E12" i="28"/>
  <c r="D12" i="28"/>
  <c r="A12" i="28"/>
  <c r="A11" i="28"/>
  <c r="H9" i="28"/>
  <c r="G9" i="28"/>
  <c r="F9" i="28"/>
  <c r="E9" i="28"/>
  <c r="D9" i="28"/>
  <c r="A9" i="28"/>
  <c r="H8" i="28"/>
  <c r="G8" i="28"/>
  <c r="F8" i="28"/>
  <c r="E8" i="28"/>
  <c r="D8" i="28"/>
  <c r="A8" i="28"/>
  <c r="H7" i="28"/>
  <c r="G7" i="28"/>
  <c r="F7" i="28"/>
  <c r="E7" i="28"/>
  <c r="D7" i="28"/>
  <c r="A7" i="28"/>
  <c r="A6" i="28"/>
  <c r="U5" i="28"/>
  <c r="T5" i="28"/>
  <c r="S5" i="28"/>
  <c r="R5" i="28"/>
  <c r="Q5" i="28"/>
  <c r="P5" i="28"/>
  <c r="O5" i="28"/>
  <c r="N5" i="28"/>
  <c r="M5" i="28"/>
  <c r="A5" i="28"/>
  <c r="A3" i="28"/>
  <c r="H133" i="27"/>
  <c r="G133" i="27"/>
  <c r="F133" i="27"/>
  <c r="E133" i="27"/>
  <c r="D133" i="27"/>
  <c r="A133" i="27"/>
  <c r="A132" i="27"/>
  <c r="H170" i="27"/>
  <c r="G170" i="27"/>
  <c r="F170" i="27"/>
  <c r="E170" i="27"/>
  <c r="D170" i="27"/>
  <c r="A170" i="27"/>
  <c r="H169" i="27"/>
  <c r="G169" i="27"/>
  <c r="F169" i="27"/>
  <c r="E169" i="27"/>
  <c r="D169" i="27"/>
  <c r="A169" i="27"/>
  <c r="H168" i="27"/>
  <c r="G168" i="27"/>
  <c r="F168" i="27"/>
  <c r="E168" i="27"/>
  <c r="D168" i="27"/>
  <c r="A168" i="27"/>
  <c r="H167" i="27"/>
  <c r="G167" i="27"/>
  <c r="F167" i="27"/>
  <c r="E167" i="27"/>
  <c r="D167" i="27"/>
  <c r="A167" i="27"/>
  <c r="A166" i="27"/>
  <c r="H164" i="27"/>
  <c r="G164" i="27"/>
  <c r="F164" i="27"/>
  <c r="E164" i="27"/>
  <c r="D164" i="27"/>
  <c r="A164" i="27"/>
  <c r="H163" i="27"/>
  <c r="G163" i="27"/>
  <c r="F163" i="27"/>
  <c r="E163" i="27"/>
  <c r="D163" i="27"/>
  <c r="A163" i="27"/>
  <c r="H162" i="27"/>
  <c r="G162" i="27"/>
  <c r="F162" i="27"/>
  <c r="E162" i="27"/>
  <c r="D162" i="27"/>
  <c r="A162" i="27"/>
  <c r="H161" i="27"/>
  <c r="G161" i="27"/>
  <c r="F161" i="27"/>
  <c r="E161" i="27"/>
  <c r="D161" i="27"/>
  <c r="A161" i="27"/>
  <c r="H160" i="27"/>
  <c r="G160" i="27"/>
  <c r="F160" i="27"/>
  <c r="E160" i="27"/>
  <c r="D160" i="27"/>
  <c r="A160" i="27"/>
  <c r="H159" i="27"/>
  <c r="G159" i="27"/>
  <c r="F159" i="27"/>
  <c r="E159" i="27"/>
  <c r="D159" i="27"/>
  <c r="A159" i="27"/>
  <c r="A158" i="27"/>
  <c r="H156" i="27"/>
  <c r="G156" i="27"/>
  <c r="F156" i="27"/>
  <c r="E156" i="27"/>
  <c r="D156" i="27"/>
  <c r="A156" i="27"/>
  <c r="H155" i="27"/>
  <c r="G155" i="27"/>
  <c r="F155" i="27"/>
  <c r="E155" i="27"/>
  <c r="D155" i="27"/>
  <c r="A155" i="27"/>
  <c r="H154" i="27"/>
  <c r="G154" i="27"/>
  <c r="F154" i="27"/>
  <c r="E154" i="27"/>
  <c r="D154" i="27"/>
  <c r="A154" i="27"/>
  <c r="A153" i="27"/>
  <c r="H151" i="27"/>
  <c r="G151" i="27"/>
  <c r="F151" i="27"/>
  <c r="E151" i="27"/>
  <c r="D151" i="27"/>
  <c r="A151" i="27"/>
  <c r="A150" i="27"/>
  <c r="H148" i="27"/>
  <c r="G148" i="27"/>
  <c r="F148" i="27"/>
  <c r="E148" i="27"/>
  <c r="D148" i="27"/>
  <c r="A148" i="27"/>
  <c r="A147" i="27"/>
  <c r="H145" i="27"/>
  <c r="G145" i="27"/>
  <c r="F145" i="27"/>
  <c r="E145" i="27"/>
  <c r="D145" i="27"/>
  <c r="A145" i="27"/>
  <c r="H144" i="27"/>
  <c r="G144" i="27"/>
  <c r="F144" i="27"/>
  <c r="E144" i="27"/>
  <c r="D144" i="27"/>
  <c r="A144" i="27"/>
  <c r="H143" i="27"/>
  <c r="G143" i="27"/>
  <c r="F143" i="27"/>
  <c r="E143" i="27"/>
  <c r="D143" i="27"/>
  <c r="A143" i="27"/>
  <c r="H142" i="27"/>
  <c r="G142" i="27"/>
  <c r="F142" i="27"/>
  <c r="E142" i="27"/>
  <c r="D142" i="27"/>
  <c r="A142" i="27"/>
  <c r="H141" i="27"/>
  <c r="G141" i="27"/>
  <c r="F141" i="27"/>
  <c r="E141" i="27"/>
  <c r="D141" i="27"/>
  <c r="A141" i="27"/>
  <c r="A140" i="27"/>
  <c r="H138" i="27"/>
  <c r="G138" i="27"/>
  <c r="F138" i="27"/>
  <c r="E138" i="27"/>
  <c r="D138" i="27"/>
  <c r="A138" i="27"/>
  <c r="A137" i="27"/>
  <c r="K136" i="27"/>
  <c r="J136" i="27"/>
  <c r="I136" i="27"/>
  <c r="H136" i="27"/>
  <c r="G136" i="27"/>
  <c r="F136" i="27"/>
  <c r="E136" i="27"/>
  <c r="D136" i="27"/>
  <c r="C136" i="27"/>
  <c r="A136" i="27"/>
  <c r="A135" i="27"/>
  <c r="H131" i="27"/>
  <c r="G131" i="27"/>
  <c r="F131" i="27"/>
  <c r="E131" i="27"/>
  <c r="D131" i="27"/>
  <c r="A131" i="27"/>
  <c r="H130" i="27"/>
  <c r="G130" i="27"/>
  <c r="F130" i="27"/>
  <c r="E130" i="27"/>
  <c r="D130" i="27"/>
  <c r="A130" i="27"/>
  <c r="H129" i="27"/>
  <c r="G129" i="27"/>
  <c r="F129" i="27"/>
  <c r="E129" i="27"/>
  <c r="D129" i="27"/>
  <c r="A129" i="27"/>
  <c r="H128" i="27"/>
  <c r="G128" i="27"/>
  <c r="F128" i="27"/>
  <c r="E128" i="27"/>
  <c r="D128" i="27"/>
  <c r="A128" i="27"/>
  <c r="H127" i="27"/>
  <c r="G127" i="27"/>
  <c r="F127" i="27"/>
  <c r="E127" i="27"/>
  <c r="D127" i="27"/>
  <c r="A127" i="27"/>
  <c r="H126" i="27"/>
  <c r="G126" i="27"/>
  <c r="F126" i="27"/>
  <c r="E126" i="27"/>
  <c r="D126" i="27"/>
  <c r="A126" i="27"/>
  <c r="A125" i="27"/>
  <c r="H123" i="27"/>
  <c r="G123" i="27"/>
  <c r="F123" i="27"/>
  <c r="E123" i="27"/>
  <c r="D123" i="27"/>
  <c r="A123" i="27"/>
  <c r="H122" i="27"/>
  <c r="G122" i="27"/>
  <c r="F122" i="27"/>
  <c r="E122" i="27"/>
  <c r="D122" i="27"/>
  <c r="A122" i="27"/>
  <c r="H120" i="27"/>
  <c r="G120" i="27"/>
  <c r="F120" i="27"/>
  <c r="E120" i="27"/>
  <c r="D120" i="27"/>
  <c r="A120" i="27"/>
  <c r="H119" i="27"/>
  <c r="G119" i="27"/>
  <c r="F119" i="27"/>
  <c r="E119" i="27"/>
  <c r="D119" i="27"/>
  <c r="A119" i="27"/>
  <c r="H118" i="27"/>
  <c r="G118" i="27"/>
  <c r="F118" i="27"/>
  <c r="E118" i="27"/>
  <c r="D118" i="27"/>
  <c r="A118" i="27"/>
  <c r="H117" i="27"/>
  <c r="G117" i="27"/>
  <c r="F117" i="27"/>
  <c r="E117" i="27"/>
  <c r="D117" i="27"/>
  <c r="A117" i="27"/>
  <c r="A116" i="27"/>
  <c r="H113" i="27"/>
  <c r="G113" i="27"/>
  <c r="F113" i="27"/>
  <c r="E113" i="27"/>
  <c r="D113" i="27"/>
  <c r="A113" i="27"/>
  <c r="A112" i="27"/>
  <c r="K111" i="27"/>
  <c r="J111" i="27"/>
  <c r="I111" i="27"/>
  <c r="H111" i="27"/>
  <c r="G111" i="27"/>
  <c r="F111" i="27"/>
  <c r="E111" i="27"/>
  <c r="D111" i="27"/>
  <c r="C111" i="27"/>
  <c r="A111" i="27"/>
  <c r="A110" i="27"/>
  <c r="H108" i="27"/>
  <c r="G108" i="27"/>
  <c r="F108" i="27"/>
  <c r="E108" i="27"/>
  <c r="D108" i="27"/>
  <c r="H106" i="27"/>
  <c r="G106" i="27"/>
  <c r="F106" i="27"/>
  <c r="E106" i="27"/>
  <c r="D106" i="27"/>
  <c r="H105" i="27"/>
  <c r="G105" i="27"/>
  <c r="F105" i="27"/>
  <c r="E105" i="27"/>
  <c r="D105" i="27"/>
  <c r="H104" i="27"/>
  <c r="G104" i="27"/>
  <c r="F104" i="27"/>
  <c r="E104" i="27"/>
  <c r="D104" i="27"/>
  <c r="H103" i="27"/>
  <c r="G103" i="27"/>
  <c r="F103" i="27"/>
  <c r="E103" i="27"/>
  <c r="D103" i="27"/>
  <c r="H102" i="27"/>
  <c r="G102" i="27"/>
  <c r="F102" i="27"/>
  <c r="E102" i="27"/>
  <c r="D102" i="27"/>
  <c r="H101" i="27"/>
  <c r="G101" i="27"/>
  <c r="F101" i="27"/>
  <c r="E101" i="27"/>
  <c r="D101" i="27"/>
  <c r="H100" i="27"/>
  <c r="G100" i="27"/>
  <c r="F100" i="27"/>
  <c r="E100" i="27"/>
  <c r="D100" i="27"/>
  <c r="H99" i="27"/>
  <c r="G99" i="27"/>
  <c r="F99" i="27"/>
  <c r="E99" i="27"/>
  <c r="D99" i="27"/>
  <c r="H98" i="27"/>
  <c r="G98" i="27"/>
  <c r="F98" i="27"/>
  <c r="E98" i="27"/>
  <c r="D98" i="27"/>
  <c r="H97" i="27"/>
  <c r="G97" i="27"/>
  <c r="F97" i="27"/>
  <c r="E97" i="27"/>
  <c r="D97" i="27"/>
  <c r="H96" i="27"/>
  <c r="G96" i="27"/>
  <c r="F96" i="27"/>
  <c r="E96" i="27"/>
  <c r="D96" i="27"/>
  <c r="H95" i="27"/>
  <c r="G95" i="27"/>
  <c r="F95" i="27"/>
  <c r="E95" i="27"/>
  <c r="D95" i="27"/>
  <c r="H94" i="27"/>
  <c r="G94" i="27"/>
  <c r="F94" i="27"/>
  <c r="E94" i="27"/>
  <c r="D94" i="27"/>
  <c r="H87" i="27"/>
  <c r="G87" i="27"/>
  <c r="F87" i="27"/>
  <c r="E87" i="27"/>
  <c r="D87" i="27"/>
  <c r="A87" i="27"/>
  <c r="H86" i="27"/>
  <c r="G86" i="27"/>
  <c r="F86" i="27"/>
  <c r="E86" i="27"/>
  <c r="D86" i="27"/>
  <c r="A86" i="27"/>
  <c r="A85" i="27"/>
  <c r="H83" i="27"/>
  <c r="G83" i="27"/>
  <c r="F83" i="27"/>
  <c r="E83" i="27"/>
  <c r="D83" i="27"/>
  <c r="A83" i="27"/>
  <c r="H82" i="27"/>
  <c r="G82" i="27"/>
  <c r="F82" i="27"/>
  <c r="E82" i="27"/>
  <c r="D82" i="27"/>
  <c r="A82" i="27"/>
  <c r="H81" i="27"/>
  <c r="G81" i="27"/>
  <c r="F81" i="27"/>
  <c r="E81" i="27"/>
  <c r="D81" i="27"/>
  <c r="A81" i="27"/>
  <c r="A80" i="27"/>
  <c r="H78" i="27"/>
  <c r="G78" i="27"/>
  <c r="F78" i="27"/>
  <c r="E78" i="27"/>
  <c r="D78" i="27"/>
  <c r="U77" i="27"/>
  <c r="T77" i="27"/>
  <c r="S77" i="27"/>
  <c r="R77" i="27"/>
  <c r="Q77" i="27"/>
  <c r="P77" i="27"/>
  <c r="O77" i="27"/>
  <c r="N77" i="27"/>
  <c r="M77" i="27"/>
  <c r="L77" i="27"/>
  <c r="H77" i="27"/>
  <c r="G77" i="27"/>
  <c r="F77" i="27"/>
  <c r="E77" i="27"/>
  <c r="D77" i="27"/>
  <c r="H74" i="27"/>
  <c r="G74" i="27"/>
  <c r="F74" i="27"/>
  <c r="E74" i="27"/>
  <c r="D74" i="27"/>
  <c r="H73" i="27"/>
  <c r="G73" i="27"/>
  <c r="F73" i="27"/>
  <c r="E73" i="27"/>
  <c r="D73" i="27"/>
  <c r="A73" i="27"/>
  <c r="A72" i="27"/>
  <c r="H70" i="27"/>
  <c r="G70" i="27"/>
  <c r="F70" i="27"/>
  <c r="E70" i="27"/>
  <c r="D70" i="27"/>
  <c r="A70" i="27"/>
  <c r="H69" i="27"/>
  <c r="G69" i="27"/>
  <c r="F69" i="27"/>
  <c r="E69" i="27"/>
  <c r="D69" i="27"/>
  <c r="A69" i="27"/>
  <c r="H68" i="27"/>
  <c r="G68" i="27"/>
  <c r="F68" i="27"/>
  <c r="E68" i="27"/>
  <c r="D68" i="27"/>
  <c r="A68" i="27"/>
  <c r="A67" i="27"/>
  <c r="H65" i="27"/>
  <c r="G65" i="27"/>
  <c r="F65" i="27"/>
  <c r="E65" i="27"/>
  <c r="D65" i="27"/>
  <c r="A65" i="27"/>
  <c r="H64" i="27"/>
  <c r="G64" i="27"/>
  <c r="F64" i="27"/>
  <c r="E64" i="27"/>
  <c r="D64" i="27"/>
  <c r="A64" i="27"/>
  <c r="H63" i="27"/>
  <c r="G63" i="27"/>
  <c r="F63" i="27"/>
  <c r="E63" i="27"/>
  <c r="D63" i="27"/>
  <c r="A63" i="27"/>
  <c r="H62" i="27"/>
  <c r="G62" i="27"/>
  <c r="F62" i="27"/>
  <c r="E62" i="27"/>
  <c r="D62" i="27"/>
  <c r="A62" i="27"/>
  <c r="H60" i="27"/>
  <c r="G60" i="27"/>
  <c r="F60" i="27"/>
  <c r="E60" i="27"/>
  <c r="D60" i="27"/>
  <c r="A60" i="27"/>
  <c r="H59" i="27"/>
  <c r="G59" i="27"/>
  <c r="F59" i="27"/>
  <c r="E59" i="27"/>
  <c r="D59" i="27"/>
  <c r="A59" i="27"/>
  <c r="H58" i="27"/>
  <c r="G58" i="27"/>
  <c r="F58" i="27"/>
  <c r="E58" i="27"/>
  <c r="D58" i="27"/>
  <c r="A58" i="27"/>
  <c r="H57" i="27"/>
  <c r="G57" i="27"/>
  <c r="F57" i="27"/>
  <c r="E57" i="27"/>
  <c r="D57" i="27"/>
  <c r="A57" i="27"/>
  <c r="H56" i="27"/>
  <c r="G56" i="27"/>
  <c r="F56" i="27"/>
  <c r="E56" i="27"/>
  <c r="D56" i="27"/>
  <c r="A56" i="27"/>
  <c r="A55" i="27"/>
  <c r="K54" i="27"/>
  <c r="J54" i="27"/>
  <c r="I54" i="27"/>
  <c r="H54" i="27"/>
  <c r="G54" i="27"/>
  <c r="F54" i="27"/>
  <c r="E54" i="27"/>
  <c r="D54" i="27"/>
  <c r="C54" i="27"/>
  <c r="A54" i="27"/>
  <c r="A53" i="27"/>
  <c r="H51" i="27"/>
  <c r="G51" i="27"/>
  <c r="F51" i="27"/>
  <c r="E51" i="27"/>
  <c r="D51" i="27"/>
  <c r="H50" i="27"/>
  <c r="G50" i="27"/>
  <c r="F50" i="27"/>
  <c r="E50" i="27"/>
  <c r="D50" i="27"/>
  <c r="H47" i="27"/>
  <c r="G47" i="27"/>
  <c r="F47" i="27"/>
  <c r="E47" i="27"/>
  <c r="D47" i="27"/>
  <c r="A46" i="27"/>
  <c r="H45" i="27"/>
  <c r="G45" i="27"/>
  <c r="F45" i="27"/>
  <c r="E45" i="27"/>
  <c r="D45" i="27"/>
  <c r="A45" i="27"/>
  <c r="H44" i="27"/>
  <c r="G44" i="27"/>
  <c r="F44" i="27"/>
  <c r="E44" i="27"/>
  <c r="D44" i="27"/>
  <c r="A44" i="27"/>
  <c r="H43" i="27"/>
  <c r="G43" i="27"/>
  <c r="F43" i="27"/>
  <c r="E43" i="27"/>
  <c r="D43" i="27"/>
  <c r="A43" i="27"/>
  <c r="H42" i="27"/>
  <c r="G42" i="27"/>
  <c r="F42" i="27"/>
  <c r="E42" i="27"/>
  <c r="D42" i="27"/>
  <c r="A42" i="27"/>
  <c r="H41" i="27"/>
  <c r="G41" i="27"/>
  <c r="F41" i="27"/>
  <c r="E41" i="27"/>
  <c r="D41" i="27"/>
  <c r="A41" i="27"/>
  <c r="H40" i="27"/>
  <c r="G40" i="27"/>
  <c r="F40" i="27"/>
  <c r="E40" i="27"/>
  <c r="D40" i="27"/>
  <c r="A40" i="27"/>
  <c r="A39" i="27"/>
  <c r="H37" i="27"/>
  <c r="G37" i="27"/>
  <c r="F37" i="27"/>
  <c r="E37" i="27"/>
  <c r="D37" i="27"/>
  <c r="A37" i="27"/>
  <c r="H36" i="27"/>
  <c r="G36" i="27"/>
  <c r="F36" i="27"/>
  <c r="E36" i="27"/>
  <c r="D36" i="27"/>
  <c r="A36" i="27"/>
  <c r="A35" i="27"/>
  <c r="K34" i="27"/>
  <c r="J34" i="27"/>
  <c r="I34" i="27"/>
  <c r="H34" i="27"/>
  <c r="G34" i="27"/>
  <c r="F34" i="27"/>
  <c r="E34" i="27"/>
  <c r="D34" i="27"/>
  <c r="C34" i="27"/>
  <c r="A34" i="27"/>
  <c r="A33" i="27"/>
  <c r="H31" i="27"/>
  <c r="G31" i="27"/>
  <c r="F31" i="27"/>
  <c r="E31" i="27"/>
  <c r="D31" i="27"/>
  <c r="A31" i="27"/>
  <c r="H30" i="27"/>
  <c r="G30" i="27"/>
  <c r="F30" i="27"/>
  <c r="E30" i="27"/>
  <c r="D30" i="27"/>
  <c r="A30" i="27"/>
  <c r="A29" i="27"/>
  <c r="H27" i="27"/>
  <c r="G27" i="27"/>
  <c r="F27" i="27"/>
  <c r="E27" i="27"/>
  <c r="D27" i="27"/>
  <c r="A27" i="27"/>
  <c r="A26" i="27"/>
  <c r="H24" i="27"/>
  <c r="G24" i="27"/>
  <c r="F24" i="27"/>
  <c r="E24" i="27"/>
  <c r="D24" i="27"/>
  <c r="A24" i="27"/>
  <c r="H23" i="27"/>
  <c r="G23" i="27"/>
  <c r="F23" i="27"/>
  <c r="E23" i="27"/>
  <c r="D23" i="27"/>
  <c r="A23" i="27"/>
  <c r="H21" i="27"/>
  <c r="G21" i="27"/>
  <c r="F21" i="27"/>
  <c r="E21" i="27"/>
  <c r="D21" i="27"/>
  <c r="A21" i="27"/>
  <c r="A20" i="27"/>
  <c r="H18" i="27"/>
  <c r="G18" i="27"/>
  <c r="F18" i="27"/>
  <c r="E18" i="27"/>
  <c r="D18" i="27"/>
  <c r="A18" i="27"/>
  <c r="H17" i="27"/>
  <c r="G17" i="27"/>
  <c r="F17" i="27"/>
  <c r="E17" i="27"/>
  <c r="D17" i="27"/>
  <c r="A17" i="27"/>
  <c r="H16" i="27"/>
  <c r="G16" i="27"/>
  <c r="F16" i="27"/>
  <c r="E16" i="27"/>
  <c r="D16" i="27"/>
  <c r="A16" i="27"/>
  <c r="A15" i="27"/>
  <c r="H13" i="27"/>
  <c r="G13" i="27"/>
  <c r="F13" i="27"/>
  <c r="E13" i="27"/>
  <c r="D13" i="27"/>
  <c r="A13" i="27"/>
  <c r="H12" i="27"/>
  <c r="G12" i="27"/>
  <c r="F12" i="27"/>
  <c r="E12" i="27"/>
  <c r="D12" i="27"/>
  <c r="A12" i="27"/>
  <c r="A11" i="27"/>
  <c r="H9" i="27"/>
  <c r="G9" i="27"/>
  <c r="F9" i="27"/>
  <c r="E9" i="27"/>
  <c r="D9" i="27"/>
  <c r="A9" i="27"/>
  <c r="H8" i="27"/>
  <c r="G8" i="27"/>
  <c r="F8" i="27"/>
  <c r="E8" i="27"/>
  <c r="D8" i="27"/>
  <c r="A8" i="27"/>
  <c r="H7" i="27"/>
  <c r="G7" i="27"/>
  <c r="F7" i="27"/>
  <c r="E7" i="27"/>
  <c r="D7" i="27"/>
  <c r="A7" i="27"/>
  <c r="A6" i="27"/>
  <c r="U5" i="27"/>
  <c r="T5" i="27"/>
  <c r="S5" i="27"/>
  <c r="R5" i="27"/>
  <c r="Q5" i="27"/>
  <c r="P5" i="27"/>
  <c r="O5" i="27"/>
  <c r="N5" i="27"/>
  <c r="M5" i="27"/>
  <c r="L5" i="27"/>
  <c r="A5" i="27"/>
  <c r="A3" i="27"/>
  <c r="J34" i="15"/>
  <c r="A3" i="15"/>
  <c r="A5" i="15"/>
  <c r="A6" i="15"/>
  <c r="A7" i="15"/>
  <c r="D7" i="15"/>
  <c r="E7" i="15"/>
  <c r="F7" i="15"/>
  <c r="G7" i="15"/>
  <c r="H7" i="15"/>
  <c r="A8" i="15"/>
  <c r="D8" i="15"/>
  <c r="E8" i="15"/>
  <c r="F8" i="15"/>
  <c r="G8" i="15"/>
  <c r="H8" i="15"/>
  <c r="A9" i="15"/>
  <c r="D9" i="15"/>
  <c r="E9" i="15"/>
  <c r="F9" i="15"/>
  <c r="G9" i="15"/>
  <c r="H9" i="15"/>
  <c r="A11" i="15"/>
  <c r="A12" i="15"/>
  <c r="D12" i="15"/>
  <c r="E12" i="15"/>
  <c r="F12" i="15"/>
  <c r="G12" i="15"/>
  <c r="H12" i="15"/>
  <c r="A13" i="15"/>
  <c r="D13" i="15"/>
  <c r="E13" i="15"/>
  <c r="F13" i="15"/>
  <c r="G13" i="15"/>
  <c r="H13" i="15"/>
  <c r="A15" i="15"/>
  <c r="A16" i="15"/>
  <c r="D16" i="15"/>
  <c r="E16" i="15"/>
  <c r="F16" i="15"/>
  <c r="G16" i="15"/>
  <c r="H16" i="15"/>
  <c r="A17" i="15"/>
  <c r="D17" i="15"/>
  <c r="E17" i="15"/>
  <c r="F17" i="15"/>
  <c r="G17" i="15"/>
  <c r="H17" i="15"/>
  <c r="A18" i="15"/>
  <c r="D18" i="15"/>
  <c r="E18" i="15"/>
  <c r="F18" i="15"/>
  <c r="G18" i="15"/>
  <c r="H18" i="15"/>
  <c r="A20" i="15"/>
  <c r="A21" i="15"/>
  <c r="D21" i="15"/>
  <c r="E21" i="15"/>
  <c r="F21" i="15"/>
  <c r="G21" i="15"/>
  <c r="H21" i="15"/>
  <c r="A23" i="15"/>
  <c r="D23" i="15"/>
  <c r="E23" i="15"/>
  <c r="F23" i="15"/>
  <c r="G23" i="15"/>
  <c r="H23" i="15"/>
  <c r="A24" i="15"/>
  <c r="D24" i="15"/>
  <c r="E24" i="15"/>
  <c r="F24" i="15"/>
  <c r="G24" i="15"/>
  <c r="H24" i="15"/>
  <c r="A26" i="15"/>
  <c r="A27" i="15"/>
  <c r="D27" i="15"/>
  <c r="E27" i="15"/>
  <c r="F27" i="15"/>
  <c r="G27" i="15"/>
  <c r="H27" i="15"/>
  <c r="A29" i="15"/>
  <c r="A30" i="15"/>
  <c r="D30" i="15"/>
  <c r="E30" i="15"/>
  <c r="F30" i="15"/>
  <c r="G30" i="15"/>
  <c r="H30" i="15"/>
  <c r="A31" i="15"/>
  <c r="D31" i="15"/>
  <c r="E31" i="15"/>
  <c r="F31" i="15"/>
  <c r="G31" i="15"/>
  <c r="H31" i="15"/>
  <c r="A33" i="15"/>
  <c r="A34" i="15"/>
  <c r="C34" i="15"/>
  <c r="D34" i="15"/>
  <c r="E34" i="15"/>
  <c r="F34" i="15"/>
  <c r="G34" i="15"/>
  <c r="H34" i="15"/>
  <c r="I34" i="15"/>
  <c r="K34" i="15"/>
  <c r="A35" i="15"/>
  <c r="A36" i="15"/>
  <c r="D36" i="15"/>
  <c r="E36" i="15"/>
  <c r="F36" i="15"/>
  <c r="G36" i="15"/>
  <c r="H36" i="15"/>
  <c r="A37" i="15"/>
  <c r="D37" i="15"/>
  <c r="E37" i="15"/>
  <c r="F37" i="15"/>
  <c r="G37" i="15"/>
  <c r="H37" i="15"/>
  <c r="A39" i="15"/>
  <c r="A40" i="15"/>
  <c r="D40" i="15"/>
  <c r="E40" i="15"/>
  <c r="F40" i="15"/>
  <c r="G40" i="15"/>
  <c r="H40" i="15"/>
  <c r="A41" i="15"/>
  <c r="D41" i="15"/>
  <c r="E41" i="15"/>
  <c r="F41" i="15"/>
  <c r="G41" i="15"/>
  <c r="H41" i="15"/>
  <c r="A42" i="15"/>
  <c r="D42" i="15"/>
  <c r="E42" i="15"/>
  <c r="F42" i="15"/>
  <c r="G42" i="15"/>
  <c r="H42" i="15"/>
  <c r="A43" i="15"/>
  <c r="D43" i="15"/>
  <c r="E43" i="15"/>
  <c r="F43" i="15"/>
  <c r="G43" i="15"/>
  <c r="H43" i="15"/>
  <c r="A44" i="15"/>
  <c r="D44" i="15"/>
  <c r="E44" i="15"/>
  <c r="F44" i="15"/>
  <c r="G44" i="15"/>
  <c r="H44" i="15"/>
  <c r="A45" i="15"/>
  <c r="D45" i="15"/>
  <c r="E45" i="15"/>
  <c r="F45" i="15"/>
  <c r="G45" i="15"/>
  <c r="H45" i="15"/>
  <c r="A46" i="15"/>
  <c r="D47" i="15"/>
  <c r="E47" i="15"/>
  <c r="F47" i="15"/>
  <c r="G47" i="15"/>
  <c r="H47" i="15"/>
  <c r="D50" i="15"/>
  <c r="E50" i="15"/>
  <c r="F50" i="15"/>
  <c r="G50" i="15"/>
  <c r="H50" i="15"/>
  <c r="D51" i="15"/>
  <c r="E51" i="15"/>
  <c r="F51" i="15"/>
  <c r="G51" i="15"/>
  <c r="H51" i="15"/>
  <c r="A53" i="15"/>
  <c r="A54" i="15"/>
  <c r="C54" i="15"/>
  <c r="D54" i="15"/>
  <c r="E54" i="15"/>
  <c r="F54" i="15"/>
  <c r="G54" i="15"/>
  <c r="H54" i="15"/>
  <c r="I54" i="15"/>
  <c r="J54" i="15"/>
  <c r="K54" i="15"/>
  <c r="A55" i="15"/>
  <c r="A56" i="15"/>
  <c r="D56" i="15"/>
  <c r="E56" i="15"/>
  <c r="F56" i="15"/>
  <c r="G56" i="15"/>
  <c r="H56" i="15"/>
  <c r="A57" i="15"/>
  <c r="D57" i="15"/>
  <c r="E57" i="15"/>
  <c r="F57" i="15"/>
  <c r="G57" i="15"/>
  <c r="H57" i="15"/>
  <c r="A58" i="15"/>
  <c r="D58" i="15"/>
  <c r="E58" i="15"/>
  <c r="F58" i="15"/>
  <c r="G58" i="15"/>
  <c r="H58" i="15"/>
  <c r="A59" i="15"/>
  <c r="D59" i="15"/>
  <c r="E59" i="15"/>
  <c r="F59" i="15"/>
  <c r="G59" i="15"/>
  <c r="H59" i="15"/>
  <c r="A60" i="15"/>
  <c r="D60" i="15"/>
  <c r="E60" i="15"/>
  <c r="F60" i="15"/>
  <c r="G60" i="15"/>
  <c r="H60" i="15"/>
  <c r="A62" i="15"/>
  <c r="D62" i="15"/>
  <c r="E62" i="15"/>
  <c r="F62" i="15"/>
  <c r="G62" i="15"/>
  <c r="H62" i="15"/>
  <c r="A63" i="15"/>
  <c r="D63" i="15"/>
  <c r="E63" i="15"/>
  <c r="F63" i="15"/>
  <c r="G63" i="15"/>
  <c r="H63" i="15"/>
  <c r="A64" i="15"/>
  <c r="D64" i="15"/>
  <c r="E64" i="15"/>
  <c r="F64" i="15"/>
  <c r="G64" i="15"/>
  <c r="H64" i="15"/>
  <c r="A65" i="15"/>
  <c r="D65" i="15"/>
  <c r="E65" i="15"/>
  <c r="F65" i="15"/>
  <c r="G65" i="15"/>
  <c r="H65" i="15"/>
  <c r="A67" i="15"/>
  <c r="A68" i="15"/>
  <c r="D68" i="15"/>
  <c r="E68" i="15"/>
  <c r="F68" i="15"/>
  <c r="G68" i="15"/>
  <c r="H68" i="15"/>
  <c r="A69" i="15"/>
  <c r="D69" i="15"/>
  <c r="E69" i="15"/>
  <c r="F69" i="15"/>
  <c r="G69" i="15"/>
  <c r="H69" i="15"/>
  <c r="A70" i="15"/>
  <c r="D70" i="15"/>
  <c r="E70" i="15"/>
  <c r="F70" i="15"/>
  <c r="G70" i="15"/>
  <c r="H70" i="15"/>
  <c r="A72" i="15"/>
  <c r="A73" i="15"/>
  <c r="D73" i="15"/>
  <c r="E73" i="15"/>
  <c r="F73" i="15"/>
  <c r="G73" i="15"/>
  <c r="H73" i="15"/>
  <c r="D74" i="15"/>
  <c r="E74" i="15"/>
  <c r="F74" i="15"/>
  <c r="G74" i="15"/>
  <c r="H74" i="15"/>
  <c r="D77" i="15"/>
  <c r="E77" i="15"/>
  <c r="F77" i="15"/>
  <c r="G77" i="15"/>
  <c r="H77" i="15"/>
  <c r="D78" i="15"/>
  <c r="E78" i="15"/>
  <c r="F78" i="15"/>
  <c r="G78" i="15"/>
  <c r="H78" i="15"/>
  <c r="A80" i="15"/>
  <c r="A81" i="15"/>
  <c r="D81" i="15"/>
  <c r="E81" i="15"/>
  <c r="F81" i="15"/>
  <c r="G81" i="15"/>
  <c r="H81" i="15"/>
  <c r="A82" i="15"/>
  <c r="D82" i="15"/>
  <c r="E82" i="15"/>
  <c r="F82" i="15"/>
  <c r="G82" i="15"/>
  <c r="H82" i="15"/>
  <c r="A83" i="15"/>
  <c r="D83" i="15"/>
  <c r="E83" i="15"/>
  <c r="F83" i="15"/>
  <c r="G83" i="15"/>
  <c r="H83" i="15"/>
  <c r="A85" i="15"/>
  <c r="A86" i="15"/>
  <c r="D86" i="15"/>
  <c r="E86" i="15"/>
  <c r="F86" i="15"/>
  <c r="G86" i="15"/>
  <c r="H86" i="15"/>
  <c r="A87" i="15"/>
  <c r="D87" i="15"/>
  <c r="E87" i="15"/>
  <c r="F87" i="15"/>
  <c r="G87" i="15"/>
  <c r="H87" i="15"/>
  <c r="D94" i="15"/>
  <c r="E94" i="15"/>
  <c r="F94" i="15"/>
  <c r="G94" i="15"/>
  <c r="H94" i="15"/>
  <c r="D95" i="15"/>
  <c r="E95" i="15"/>
  <c r="F95" i="15"/>
  <c r="G95" i="15"/>
  <c r="H95" i="15"/>
  <c r="D96" i="15"/>
  <c r="E96" i="15"/>
  <c r="F96" i="15"/>
  <c r="G96" i="15"/>
  <c r="H96" i="15"/>
  <c r="D97" i="15"/>
  <c r="E97" i="15"/>
  <c r="F97" i="15"/>
  <c r="G97" i="15"/>
  <c r="H97" i="15"/>
  <c r="D98" i="15"/>
  <c r="E98" i="15"/>
  <c r="F98" i="15"/>
  <c r="G98" i="15"/>
  <c r="H98" i="15"/>
  <c r="D99" i="15"/>
  <c r="E99" i="15"/>
  <c r="F99" i="15"/>
  <c r="G99" i="15"/>
  <c r="H99" i="15"/>
  <c r="D100" i="15"/>
  <c r="E100" i="15"/>
  <c r="F100" i="15"/>
  <c r="G100" i="15"/>
  <c r="H100" i="15"/>
  <c r="D101" i="15"/>
  <c r="E101" i="15"/>
  <c r="F101" i="15"/>
  <c r="G101" i="15"/>
  <c r="H101" i="15"/>
  <c r="D102" i="15"/>
  <c r="E102" i="15"/>
  <c r="F102" i="15"/>
  <c r="G102" i="15"/>
  <c r="H102" i="15"/>
  <c r="D103" i="15"/>
  <c r="E103" i="15"/>
  <c r="F103" i="15"/>
  <c r="G103" i="15"/>
  <c r="H103" i="15"/>
  <c r="D104" i="15"/>
  <c r="E104" i="15"/>
  <c r="F104" i="15"/>
  <c r="G104" i="15"/>
  <c r="H104" i="15"/>
  <c r="D105" i="15"/>
  <c r="E105" i="15"/>
  <c r="F105" i="15"/>
  <c r="G105" i="15"/>
  <c r="H105" i="15"/>
  <c r="D106" i="15"/>
  <c r="E106" i="15"/>
  <c r="F106" i="15"/>
  <c r="G106" i="15"/>
  <c r="H106" i="15"/>
  <c r="D108" i="15"/>
  <c r="E108" i="15"/>
  <c r="F108" i="15"/>
  <c r="G108" i="15"/>
  <c r="H108" i="15"/>
  <c r="A110" i="15"/>
  <c r="A111" i="15"/>
  <c r="C111" i="15"/>
  <c r="D111" i="15"/>
  <c r="E111" i="15"/>
  <c r="F111" i="15"/>
  <c r="G111" i="15"/>
  <c r="H111" i="15"/>
  <c r="I111" i="15"/>
  <c r="J111" i="15"/>
  <c r="K111" i="15"/>
  <c r="A112" i="15"/>
  <c r="A113" i="15"/>
  <c r="D113" i="15"/>
  <c r="E113" i="15"/>
  <c r="F113" i="15"/>
  <c r="G113" i="15"/>
  <c r="H113" i="15"/>
  <c r="A116" i="15"/>
  <c r="A117" i="15"/>
  <c r="D117" i="15"/>
  <c r="E117" i="15"/>
  <c r="F117" i="15"/>
  <c r="G117" i="15"/>
  <c r="H117" i="15"/>
  <c r="A118" i="15"/>
  <c r="D118" i="15"/>
  <c r="E118" i="15"/>
  <c r="F118" i="15"/>
  <c r="G118" i="15"/>
  <c r="H118" i="15"/>
  <c r="A119" i="15"/>
  <c r="D119" i="15"/>
  <c r="E119" i="15"/>
  <c r="F119" i="15"/>
  <c r="G119" i="15"/>
  <c r="H119" i="15"/>
  <c r="A120" i="15"/>
  <c r="D120" i="15"/>
  <c r="E120" i="15"/>
  <c r="F120" i="15"/>
  <c r="G120" i="15"/>
  <c r="H120" i="15"/>
  <c r="A122" i="15"/>
  <c r="D122" i="15"/>
  <c r="E122" i="15"/>
  <c r="F122" i="15"/>
  <c r="G122" i="15"/>
  <c r="H122" i="15"/>
  <c r="A123" i="15"/>
  <c r="D123" i="15"/>
  <c r="E123" i="15"/>
  <c r="F123" i="15"/>
  <c r="G123" i="15"/>
  <c r="H123" i="15"/>
  <c r="A125" i="15"/>
  <c r="A126" i="15"/>
  <c r="D126" i="15"/>
  <c r="E126" i="15"/>
  <c r="F126" i="15"/>
  <c r="G126" i="15"/>
  <c r="H126" i="15"/>
  <c r="A127" i="15"/>
  <c r="D127" i="15"/>
  <c r="E127" i="15"/>
  <c r="F127" i="15"/>
  <c r="G127" i="15"/>
  <c r="H127" i="15"/>
  <c r="A128" i="15"/>
  <c r="D128" i="15"/>
  <c r="E128" i="15"/>
  <c r="F128" i="15"/>
  <c r="G128" i="15"/>
  <c r="H128" i="15"/>
  <c r="A129" i="15"/>
  <c r="D129" i="15"/>
  <c r="E129" i="15"/>
  <c r="F129" i="15"/>
  <c r="G129" i="15"/>
  <c r="H129" i="15"/>
  <c r="A130" i="15"/>
  <c r="D130" i="15"/>
  <c r="E130" i="15"/>
  <c r="F130" i="15"/>
  <c r="G130" i="15"/>
  <c r="H130" i="15"/>
  <c r="A131" i="15"/>
  <c r="D131" i="15"/>
  <c r="E131" i="15"/>
  <c r="F131" i="15"/>
  <c r="G131" i="15"/>
  <c r="H131" i="15"/>
  <c r="A135" i="15"/>
  <c r="A136" i="15"/>
  <c r="C136" i="15"/>
  <c r="D136" i="15"/>
  <c r="E136" i="15"/>
  <c r="F136" i="15"/>
  <c r="G136" i="15"/>
  <c r="H136" i="15"/>
  <c r="I136" i="15"/>
  <c r="J136" i="15"/>
  <c r="K136" i="15"/>
  <c r="A137" i="15"/>
  <c r="A138" i="15"/>
  <c r="D138" i="15"/>
  <c r="E138" i="15"/>
  <c r="F138" i="15"/>
  <c r="G138" i="15"/>
  <c r="H138" i="15"/>
  <c r="A140" i="15"/>
  <c r="A141" i="15"/>
  <c r="D141" i="15"/>
  <c r="E141" i="15"/>
  <c r="F141" i="15"/>
  <c r="G141" i="15"/>
  <c r="H141" i="15"/>
  <c r="A142" i="15"/>
  <c r="D142" i="15"/>
  <c r="E142" i="15"/>
  <c r="F142" i="15"/>
  <c r="G142" i="15"/>
  <c r="H142" i="15"/>
  <c r="A143" i="15"/>
  <c r="D143" i="15"/>
  <c r="E143" i="15"/>
  <c r="F143" i="15"/>
  <c r="G143" i="15"/>
  <c r="H143" i="15"/>
  <c r="A144" i="15"/>
  <c r="D144" i="15"/>
  <c r="E144" i="15"/>
  <c r="F144" i="15"/>
  <c r="G144" i="15"/>
  <c r="H144" i="15"/>
  <c r="A145" i="15"/>
  <c r="D145" i="15"/>
  <c r="E145" i="15"/>
  <c r="F145" i="15"/>
  <c r="G145" i="15"/>
  <c r="H145" i="15"/>
  <c r="A147" i="15"/>
  <c r="A148" i="15"/>
  <c r="D148" i="15"/>
  <c r="E148" i="15"/>
  <c r="F148" i="15"/>
  <c r="G148" i="15"/>
  <c r="H148" i="15"/>
  <c r="M565" i="1"/>
  <c r="O565" i="1" s="1"/>
  <c r="E5" i="6"/>
  <c r="D10" i="6"/>
  <c r="A10" i="6"/>
  <c r="C26" i="18"/>
  <c r="I158" i="30" s="1"/>
  <c r="C25" i="18"/>
  <c r="C24" i="18"/>
  <c r="I159" i="28" s="1"/>
  <c r="C23" i="18"/>
  <c r="A45" i="18"/>
  <c r="D182" i="4" s="1"/>
  <c r="C27" i="16"/>
  <c r="I27" i="16"/>
  <c r="I163" i="29"/>
  <c r="I156" i="29"/>
  <c r="C154" i="29"/>
  <c r="C126" i="29"/>
  <c r="C123" i="29"/>
  <c r="C108" i="29"/>
  <c r="I96" i="29"/>
  <c r="I89" i="29"/>
  <c r="I83" i="29"/>
  <c r="C169" i="29"/>
  <c r="I167" i="29"/>
  <c r="C155" i="29"/>
  <c r="C145" i="29"/>
  <c r="C138" i="29"/>
  <c r="C127" i="29"/>
  <c r="I116" i="29"/>
  <c r="I112" i="29"/>
  <c r="I105" i="29"/>
  <c r="C95" i="29"/>
  <c r="C87" i="29"/>
  <c r="I81" i="29"/>
  <c r="I162" i="29"/>
  <c r="I141" i="29"/>
  <c r="C129" i="29"/>
  <c r="I95" i="29"/>
  <c r="C69" i="29"/>
  <c r="C62" i="29"/>
  <c r="I51" i="29"/>
  <c r="I40" i="29"/>
  <c r="I37" i="29"/>
  <c r="I23" i="29"/>
  <c r="I20" i="29"/>
  <c r="C12" i="29"/>
  <c r="C159" i="29"/>
  <c r="I154" i="29"/>
  <c r="C128" i="29"/>
  <c r="I108" i="29"/>
  <c r="C83" i="29"/>
  <c r="C77" i="29"/>
  <c r="I61" i="29"/>
  <c r="I55" i="29"/>
  <c r="C50" i="29"/>
  <c r="I30" i="29"/>
  <c r="I27" i="29"/>
  <c r="C16" i="29"/>
  <c r="C6" i="29"/>
  <c r="I99" i="29"/>
  <c r="I76" i="29"/>
  <c r="I69" i="29"/>
  <c r="I42" i="29"/>
  <c r="C40" i="29"/>
  <c r="I36" i="29"/>
  <c r="C97" i="29"/>
  <c r="C58" i="29"/>
  <c r="C44" i="29"/>
  <c r="I137" i="29"/>
  <c r="I70" i="29"/>
  <c r="I63" i="29"/>
  <c r="C27" i="29"/>
  <c r="C142" i="29"/>
  <c r="C104" i="29"/>
  <c r="I72" i="29"/>
  <c r="C65" i="29"/>
  <c r="C45" i="29"/>
  <c r="C30" i="29"/>
  <c r="I16" i="29"/>
  <c r="C8" i="29"/>
  <c r="I158" i="29"/>
  <c r="I145" i="29"/>
  <c r="I138" i="29"/>
  <c r="C81" i="29"/>
  <c r="I60" i="29"/>
  <c r="C23" i="29"/>
  <c r="C7" i="29"/>
  <c r="I144" i="29"/>
  <c r="I106" i="29"/>
  <c r="C18" i="29"/>
  <c r="I13" i="29"/>
  <c r="I6" i="29"/>
  <c r="I27" i="15"/>
  <c r="C27" i="15"/>
  <c r="I7" i="15"/>
  <c r="I31" i="15"/>
  <c r="I39" i="15"/>
  <c r="I76" i="15"/>
  <c r="I82" i="15"/>
  <c r="C86" i="15"/>
  <c r="I8" i="15"/>
  <c r="I11" i="15"/>
  <c r="C13" i="15"/>
  <c r="I62" i="15"/>
  <c r="C68" i="15"/>
  <c r="I77" i="15"/>
  <c r="C23" i="15"/>
  <c r="I24" i="15"/>
  <c r="I35" i="15"/>
  <c r="I63" i="15"/>
  <c r="C69" i="15"/>
  <c r="I72" i="15"/>
  <c r="I102" i="15"/>
  <c r="C118" i="15"/>
  <c r="C70" i="15"/>
  <c r="I143" i="15"/>
  <c r="C123" i="15"/>
  <c r="C126" i="15"/>
  <c r="I120" i="15"/>
  <c r="I5" i="15"/>
  <c r="C22" i="15"/>
  <c r="C9" i="15"/>
  <c r="I86" i="15"/>
  <c r="I95" i="15"/>
  <c r="I15" i="15"/>
  <c r="C21" i="15"/>
  <c r="I30" i="15"/>
  <c r="I126" i="30"/>
  <c r="I102" i="30"/>
  <c r="C101" i="30"/>
  <c r="I8" i="30"/>
  <c r="C108" i="30"/>
  <c r="I74" i="30"/>
  <c r="C27" i="30"/>
  <c r="I70" i="30"/>
  <c r="I36" i="30"/>
  <c r="I132" i="27"/>
  <c r="I162" i="27"/>
  <c r="I158" i="27"/>
  <c r="C151" i="27"/>
  <c r="C143" i="27"/>
  <c r="I131" i="27"/>
  <c r="C129" i="27"/>
  <c r="I118" i="27"/>
  <c r="C105" i="27"/>
  <c r="C168" i="27"/>
  <c r="I159" i="27"/>
  <c r="I156" i="27"/>
  <c r="C144" i="27"/>
  <c r="C130" i="27"/>
  <c r="C123" i="27"/>
  <c r="I121" i="27"/>
  <c r="C108" i="27"/>
  <c r="I104" i="27"/>
  <c r="C102" i="27"/>
  <c r="C94" i="27"/>
  <c r="I89" i="27"/>
  <c r="I153" i="27"/>
  <c r="I129" i="27"/>
  <c r="I122" i="27"/>
  <c r="I116" i="27"/>
  <c r="C101" i="27"/>
  <c r="C99" i="27"/>
  <c r="I95" i="27"/>
  <c r="C87" i="27"/>
  <c r="C83" i="27"/>
  <c r="C77" i="27"/>
  <c r="I73" i="27"/>
  <c r="I67" i="27"/>
  <c r="I64" i="27"/>
  <c r="I58" i="27"/>
  <c r="C56" i="27"/>
  <c r="I51" i="27"/>
  <c r="C42" i="27"/>
  <c r="I40" i="27"/>
  <c r="C36" i="27"/>
  <c r="I29" i="27"/>
  <c r="I23" i="27"/>
  <c r="C22" i="27"/>
  <c r="C12" i="27"/>
  <c r="C9" i="27"/>
  <c r="I7" i="27"/>
  <c r="I151" i="27"/>
  <c r="C148" i="27"/>
  <c r="I125" i="27"/>
  <c r="I105" i="27"/>
  <c r="I94" i="27"/>
  <c r="I77" i="27"/>
  <c r="C64" i="27"/>
  <c r="I60" i="27"/>
  <c r="I42" i="27"/>
  <c r="C37" i="27"/>
  <c r="C17" i="27"/>
  <c r="I5" i="27"/>
  <c r="I168" i="27"/>
  <c r="I161" i="27"/>
  <c r="I140" i="27"/>
  <c r="C128" i="27"/>
  <c r="I108" i="27"/>
  <c r="I86" i="27"/>
  <c r="I81" i="27"/>
  <c r="C65" i="27"/>
  <c r="I47" i="27"/>
  <c r="I39" i="27"/>
  <c r="C27" i="27"/>
  <c r="C163" i="27"/>
  <c r="C156" i="27"/>
  <c r="I144" i="27"/>
  <c r="I126" i="27"/>
  <c r="C119" i="27"/>
  <c r="I106" i="27"/>
  <c r="I98" i="27"/>
  <c r="C95" i="27"/>
  <c r="C86" i="27"/>
  <c r="I76" i="27"/>
  <c r="C70" i="27"/>
  <c r="I68" i="27"/>
  <c r="I61" i="27"/>
  <c r="I59" i="27"/>
  <c r="I55" i="27"/>
  <c r="C47" i="27"/>
  <c r="C43" i="27"/>
  <c r="I41" i="27"/>
  <c r="I27" i="27"/>
  <c r="I24" i="27"/>
  <c r="I21" i="27"/>
  <c r="C13" i="27"/>
  <c r="I11" i="27"/>
  <c r="C6" i="27"/>
  <c r="C155" i="27"/>
  <c r="C141" i="27"/>
  <c r="I120" i="27"/>
  <c r="C100" i="27"/>
  <c r="I85" i="27"/>
  <c r="I80" i="27"/>
  <c r="I69" i="27"/>
  <c r="I62" i="27"/>
  <c r="C51" i="27"/>
  <c r="C44" i="27"/>
  <c r="I36" i="27"/>
  <c r="I31" i="27"/>
  <c r="C7" i="27"/>
  <c r="C159" i="27"/>
  <c r="I130" i="27"/>
  <c r="I97" i="27"/>
  <c r="C96" i="27"/>
  <c r="I78" i="27"/>
  <c r="C68" i="27"/>
  <c r="I57" i="27"/>
  <c r="I50" i="27"/>
  <c r="C30" i="27"/>
  <c r="C24" i="27"/>
  <c r="I22" i="27"/>
  <c r="I16" i="27"/>
  <c r="I13" i="27"/>
  <c r="N217" i="1"/>
  <c r="S70" i="33" s="1"/>
  <c r="I27" i="17"/>
  <c r="C27" i="17"/>
  <c r="C27" i="28"/>
  <c r="C24" i="28"/>
  <c r="C12" i="28"/>
  <c r="I74" i="28"/>
  <c r="I76" i="28"/>
  <c r="I27" i="28"/>
  <c r="A133" i="15"/>
  <c r="A170" i="15"/>
  <c r="A169" i="15"/>
  <c r="A168" i="15"/>
  <c r="A167" i="15"/>
  <c r="A164" i="15"/>
  <c r="A163" i="15"/>
  <c r="A162" i="15"/>
  <c r="A161" i="15"/>
  <c r="A160" i="15"/>
  <c r="A159" i="15"/>
  <c r="A156" i="15"/>
  <c r="A155" i="15"/>
  <c r="A154" i="15"/>
  <c r="A151" i="15"/>
  <c r="A133" i="16"/>
  <c r="A170" i="16"/>
  <c r="A169" i="16"/>
  <c r="A168" i="16"/>
  <c r="A167" i="16"/>
  <c r="A164" i="16"/>
  <c r="A163" i="16"/>
  <c r="A162" i="16"/>
  <c r="A161" i="16"/>
  <c r="A160" i="16"/>
  <c r="A159" i="16"/>
  <c r="A156" i="16"/>
  <c r="A155" i="16"/>
  <c r="A154" i="16"/>
  <c r="A151" i="16"/>
  <c r="A148" i="16"/>
  <c r="A145" i="16"/>
  <c r="A144" i="16"/>
  <c r="A143" i="16"/>
  <c r="A142" i="16"/>
  <c r="A141" i="16"/>
  <c r="A138" i="16"/>
  <c r="A131" i="16"/>
  <c r="A130" i="16"/>
  <c r="A129" i="16"/>
  <c r="A128" i="16"/>
  <c r="A127" i="16"/>
  <c r="A126" i="16"/>
  <c r="A123" i="16"/>
  <c r="A122" i="16"/>
  <c r="A120" i="16"/>
  <c r="A119" i="16"/>
  <c r="A118" i="16"/>
  <c r="A117" i="16"/>
  <c r="A113" i="16"/>
  <c r="A87" i="16"/>
  <c r="A86" i="16"/>
  <c r="A83" i="16"/>
  <c r="A82" i="16"/>
  <c r="A81" i="16"/>
  <c r="A73" i="16"/>
  <c r="A70" i="16"/>
  <c r="A69" i="16"/>
  <c r="A68" i="16"/>
  <c r="A65" i="16"/>
  <c r="A64" i="16"/>
  <c r="A63" i="16"/>
  <c r="A62" i="16"/>
  <c r="A60" i="16"/>
  <c r="A59" i="16"/>
  <c r="A58" i="16"/>
  <c r="A57" i="16"/>
  <c r="A56" i="16"/>
  <c r="A46" i="16"/>
  <c r="A45" i="16"/>
  <c r="A44" i="16"/>
  <c r="A43" i="16"/>
  <c r="A42" i="16"/>
  <c r="A41" i="16"/>
  <c r="A40" i="16"/>
  <c r="A37" i="16"/>
  <c r="A36" i="16"/>
  <c r="A31" i="16"/>
  <c r="A30" i="16"/>
  <c r="A27" i="16"/>
  <c r="A24" i="16"/>
  <c r="A23" i="16"/>
  <c r="A21" i="16"/>
  <c r="A18" i="16"/>
  <c r="A17" i="16"/>
  <c r="A16" i="16"/>
  <c r="A13" i="16"/>
  <c r="A12" i="16"/>
  <c r="A134" i="17"/>
  <c r="A170" i="17"/>
  <c r="A169" i="17"/>
  <c r="A168" i="17"/>
  <c r="A165" i="17"/>
  <c r="A164" i="17"/>
  <c r="A163" i="17"/>
  <c r="A162" i="17"/>
  <c r="A161" i="17"/>
  <c r="A160" i="17"/>
  <c r="A157" i="17"/>
  <c r="A156" i="17"/>
  <c r="A155" i="17"/>
  <c r="A152" i="17"/>
  <c r="A149" i="17"/>
  <c r="A146" i="17"/>
  <c r="A145" i="17"/>
  <c r="A144" i="17"/>
  <c r="A143" i="17"/>
  <c r="A142" i="17"/>
  <c r="A139" i="17"/>
  <c r="A131" i="17"/>
  <c r="A130" i="17"/>
  <c r="A129" i="17"/>
  <c r="A128" i="17"/>
  <c r="A127" i="17"/>
  <c r="A126" i="17"/>
  <c r="A123" i="17"/>
  <c r="A122" i="17"/>
  <c r="A120" i="17"/>
  <c r="A119" i="17"/>
  <c r="A118" i="17"/>
  <c r="A117" i="17"/>
  <c r="A113" i="17"/>
  <c r="A87" i="17"/>
  <c r="A86" i="17"/>
  <c r="A83" i="17"/>
  <c r="A82" i="17"/>
  <c r="A81" i="17"/>
  <c r="A74" i="17"/>
  <c r="A73" i="17"/>
  <c r="A70" i="17"/>
  <c r="A69" i="17"/>
  <c r="A68" i="17"/>
  <c r="A65" i="17"/>
  <c r="A64" i="17"/>
  <c r="A63" i="17"/>
  <c r="A62" i="17"/>
  <c r="A60" i="17"/>
  <c r="A59" i="17"/>
  <c r="A58" i="17"/>
  <c r="A57" i="17"/>
  <c r="A56" i="17"/>
  <c r="A47" i="17"/>
  <c r="A46" i="17"/>
  <c r="A45" i="17"/>
  <c r="A44" i="17"/>
  <c r="A43" i="17"/>
  <c r="A42" i="17"/>
  <c r="A41" i="17"/>
  <c r="A40" i="17"/>
  <c r="A37" i="17"/>
  <c r="A36" i="17"/>
  <c r="A31" i="17"/>
  <c r="A30" i="17"/>
  <c r="A27" i="17"/>
  <c r="A24" i="17"/>
  <c r="A23" i="17"/>
  <c r="A21" i="17"/>
  <c r="A17" i="17"/>
  <c r="A18" i="17"/>
  <c r="A16" i="17"/>
  <c r="I169" i="15"/>
  <c r="C169" i="15"/>
  <c r="I168" i="15"/>
  <c r="C163" i="15"/>
  <c r="I162" i="15"/>
  <c r="C162" i="15"/>
  <c r="I156" i="15"/>
  <c r="I155" i="15"/>
  <c r="I154" i="15"/>
  <c r="C133" i="16"/>
  <c r="I132" i="16"/>
  <c r="C164" i="16"/>
  <c r="I163" i="16"/>
  <c r="I158" i="16"/>
  <c r="C156" i="16"/>
  <c r="I148" i="16"/>
  <c r="C148" i="16"/>
  <c r="C142" i="16"/>
  <c r="I141" i="16"/>
  <c r="I129" i="16"/>
  <c r="I128" i="16"/>
  <c r="I122" i="16"/>
  <c r="C122" i="16"/>
  <c r="C117" i="16"/>
  <c r="I116" i="16"/>
  <c r="I103" i="16"/>
  <c r="C102" i="16"/>
  <c r="I97" i="16"/>
  <c r="C97" i="16"/>
  <c r="I87" i="16"/>
  <c r="C87" i="16"/>
  <c r="I80" i="16"/>
  <c r="C78" i="16"/>
  <c r="I70" i="16"/>
  <c r="C70" i="16"/>
  <c r="C64" i="16"/>
  <c r="I63" i="16"/>
  <c r="I57" i="16"/>
  <c r="I56" i="16"/>
  <c r="C47" i="16"/>
  <c r="I46" i="16"/>
  <c r="C42" i="16"/>
  <c r="I41" i="16"/>
  <c r="I31" i="16"/>
  <c r="I30" i="16"/>
  <c r="I21" i="16"/>
  <c r="C21" i="16"/>
  <c r="I13" i="16"/>
  <c r="C13" i="16"/>
  <c r="I7" i="16"/>
  <c r="C7" i="16"/>
  <c r="B1" i="17"/>
  <c r="I134" i="17"/>
  <c r="I133" i="17"/>
  <c r="I170" i="17"/>
  <c r="I169" i="17"/>
  <c r="I168" i="17"/>
  <c r="I167" i="17"/>
  <c r="I165" i="17"/>
  <c r="I164" i="17"/>
  <c r="I163" i="17"/>
  <c r="I162" i="17"/>
  <c r="I161" i="17"/>
  <c r="I160" i="17"/>
  <c r="I159" i="17"/>
  <c r="I157" i="17"/>
  <c r="I156" i="17"/>
  <c r="I155" i="17"/>
  <c r="I154" i="17"/>
  <c r="I152" i="17"/>
  <c r="I151" i="17"/>
  <c r="I149" i="17"/>
  <c r="I148" i="17"/>
  <c r="I146" i="17"/>
  <c r="I145" i="17"/>
  <c r="I144" i="17"/>
  <c r="I143" i="17"/>
  <c r="I142" i="17"/>
  <c r="I141" i="17"/>
  <c r="I139" i="17"/>
  <c r="I138" i="17"/>
  <c r="I131" i="17"/>
  <c r="I130" i="17"/>
  <c r="I129" i="17"/>
  <c r="I128" i="17"/>
  <c r="I127" i="17"/>
  <c r="I126" i="17"/>
  <c r="I125" i="17"/>
  <c r="I123" i="17"/>
  <c r="I122" i="17"/>
  <c r="I121" i="17"/>
  <c r="I120" i="17"/>
  <c r="I119" i="17"/>
  <c r="I118" i="17"/>
  <c r="I117" i="17"/>
  <c r="I116" i="17"/>
  <c r="I112" i="17"/>
  <c r="I108" i="17"/>
  <c r="I107" i="17"/>
  <c r="I106" i="17"/>
  <c r="I105" i="17"/>
  <c r="I104" i="17"/>
  <c r="I103" i="17"/>
  <c r="I102" i="17"/>
  <c r="I101" i="17"/>
  <c r="I100" i="17"/>
  <c r="I99" i="17"/>
  <c r="I98" i="17"/>
  <c r="I97" i="17"/>
  <c r="I96" i="17"/>
  <c r="I95" i="17"/>
  <c r="I94" i="17"/>
  <c r="I93" i="17"/>
  <c r="I89" i="17"/>
  <c r="I87" i="17"/>
  <c r="I86" i="17"/>
  <c r="I85" i="17"/>
  <c r="I83" i="17"/>
  <c r="I82" i="17"/>
  <c r="I81" i="17"/>
  <c r="I80" i="17"/>
  <c r="I78" i="17"/>
  <c r="I77" i="17"/>
  <c r="I76" i="17"/>
  <c r="I74" i="17"/>
  <c r="I73" i="17"/>
  <c r="I72" i="17"/>
  <c r="I70" i="17"/>
  <c r="I69" i="17"/>
  <c r="I68" i="17"/>
  <c r="I67" i="17"/>
  <c r="I65" i="17"/>
  <c r="I64" i="17"/>
  <c r="I63" i="17"/>
  <c r="I62" i="17"/>
  <c r="I61" i="17"/>
  <c r="I60" i="17"/>
  <c r="I59" i="17"/>
  <c r="I58" i="17"/>
  <c r="I57" i="17"/>
  <c r="I56" i="17"/>
  <c r="I55" i="17"/>
  <c r="I51" i="17"/>
  <c r="I50" i="17"/>
  <c r="I49" i="17"/>
  <c r="I47" i="17"/>
  <c r="I46" i="17"/>
  <c r="I45" i="17"/>
  <c r="I44" i="17"/>
  <c r="I43" i="17"/>
  <c r="I42" i="17"/>
  <c r="I41" i="17"/>
  <c r="I40" i="17"/>
  <c r="I39" i="17"/>
  <c r="I37" i="17"/>
  <c r="I36" i="17"/>
  <c r="I35" i="17"/>
  <c r="I31" i="17"/>
  <c r="I30" i="17"/>
  <c r="I29" i="17"/>
  <c r="I26" i="17"/>
  <c r="I24" i="17"/>
  <c r="I23" i="17"/>
  <c r="I21" i="17"/>
  <c r="I20" i="17"/>
  <c r="I18" i="17"/>
  <c r="I17" i="17"/>
  <c r="I16" i="17"/>
  <c r="I15" i="17"/>
  <c r="I13" i="17"/>
  <c r="I12" i="17"/>
  <c r="I11" i="17"/>
  <c r="I9" i="17"/>
  <c r="C134" i="17"/>
  <c r="C170" i="17"/>
  <c r="C169" i="17"/>
  <c r="C168" i="17"/>
  <c r="C165" i="17"/>
  <c r="C164" i="17"/>
  <c r="C163" i="17"/>
  <c r="C162" i="17"/>
  <c r="C161" i="17"/>
  <c r="C160" i="17"/>
  <c r="C157" i="17"/>
  <c r="C156" i="17"/>
  <c r="C155" i="17"/>
  <c r="C152" i="17"/>
  <c r="C149" i="17"/>
  <c r="C146" i="17"/>
  <c r="C145" i="17"/>
  <c r="C144" i="17"/>
  <c r="C143" i="17"/>
  <c r="C142" i="17"/>
  <c r="C139" i="17"/>
  <c r="C131" i="17"/>
  <c r="C130" i="17"/>
  <c r="C129" i="17"/>
  <c r="C128" i="17"/>
  <c r="C127" i="17"/>
  <c r="C126" i="17"/>
  <c r="C123" i="17"/>
  <c r="C122" i="17"/>
  <c r="C119" i="17"/>
  <c r="C118" i="17"/>
  <c r="C117" i="17"/>
  <c r="C108" i="17"/>
  <c r="C106" i="17"/>
  <c r="C105" i="17"/>
  <c r="C102" i="17"/>
  <c r="C101" i="17"/>
  <c r="C100" i="17"/>
  <c r="C99" i="17"/>
  <c r="C98" i="17"/>
  <c r="C97" i="17"/>
  <c r="C96" i="17"/>
  <c r="C95" i="17"/>
  <c r="C94" i="17"/>
  <c r="C87" i="17"/>
  <c r="C86" i="17"/>
  <c r="C83" i="17"/>
  <c r="C82" i="17"/>
  <c r="C81" i="17"/>
  <c r="C78" i="17"/>
  <c r="C77" i="17"/>
  <c r="C74" i="17"/>
  <c r="C73" i="17"/>
  <c r="C70" i="17"/>
  <c r="C69" i="17"/>
  <c r="C68" i="17"/>
  <c r="C65" i="17"/>
  <c r="C64" i="17"/>
  <c r="C63" i="17"/>
  <c r="C62" i="17"/>
  <c r="C59" i="17"/>
  <c r="C58" i="17"/>
  <c r="C57" i="17"/>
  <c r="C56" i="17"/>
  <c r="C51" i="17"/>
  <c r="C50" i="17"/>
  <c r="C47" i="17"/>
  <c r="C46" i="17"/>
  <c r="C45" i="17"/>
  <c r="C44" i="17"/>
  <c r="C43" i="17"/>
  <c r="C42" i="17"/>
  <c r="C41" i="17"/>
  <c r="C40" i="17"/>
  <c r="C37" i="17"/>
  <c r="C36" i="17"/>
  <c r="C31" i="17"/>
  <c r="C30" i="17"/>
  <c r="C24" i="17"/>
  <c r="C23" i="17"/>
  <c r="C18" i="17"/>
  <c r="C17" i="17"/>
  <c r="C16" i="17"/>
  <c r="C13" i="17"/>
  <c r="I8" i="17"/>
  <c r="I7" i="17"/>
  <c r="I6" i="17"/>
  <c r="C12" i="17"/>
  <c r="C9" i="17"/>
  <c r="C8" i="17"/>
  <c r="C7" i="17"/>
  <c r="C6" i="17"/>
  <c r="I5" i="17"/>
  <c r="A9" i="16"/>
  <c r="A8" i="16"/>
  <c r="A7" i="16"/>
  <c r="A6" i="16"/>
  <c r="A13" i="17"/>
  <c r="A12" i="17"/>
  <c r="A9" i="17"/>
  <c r="A8" i="17"/>
  <c r="A7" i="17"/>
  <c r="A6" i="17"/>
  <c r="U32" i="34"/>
  <c r="B39" i="17"/>
  <c r="B285" i="1"/>
  <c r="U164" i="34"/>
  <c r="D33" i="6"/>
  <c r="D32" i="6"/>
  <c r="D31" i="6"/>
  <c r="D30" i="6"/>
  <c r="D29" i="6"/>
  <c r="D27" i="6"/>
  <c r="D24" i="6"/>
  <c r="D23" i="6"/>
  <c r="D16" i="6"/>
  <c r="R455" i="1"/>
  <c r="R563" i="1"/>
  <c r="R558" i="1"/>
  <c r="R553" i="1"/>
  <c r="R548" i="1"/>
  <c r="R542" i="1"/>
  <c r="R537" i="1"/>
  <c r="R532" i="1"/>
  <c r="R527" i="1"/>
  <c r="R522" i="1"/>
  <c r="R517" i="1"/>
  <c r="R512" i="1"/>
  <c r="R507" i="1"/>
  <c r="R502" i="1"/>
  <c r="R497" i="1"/>
  <c r="R487" i="1"/>
  <c r="R482" i="1"/>
  <c r="R477" i="1"/>
  <c r="R472" i="1"/>
  <c r="R467" i="1"/>
  <c r="R418" i="1"/>
  <c r="R413" i="1"/>
  <c r="R408" i="1"/>
  <c r="R403" i="1"/>
  <c r="R398" i="1"/>
  <c r="R393" i="1"/>
  <c r="R388" i="1"/>
  <c r="R378" i="1"/>
  <c r="R227" i="1"/>
  <c r="R222" i="1"/>
  <c r="R217" i="1"/>
  <c r="R73" i="1"/>
  <c r="W72" i="34"/>
  <c r="Q72" i="33"/>
  <c r="W132" i="34"/>
  <c r="Q131" i="33"/>
  <c r="W136" i="34"/>
  <c r="Q135" i="33"/>
  <c r="W159" i="34"/>
  <c r="Q158" i="33"/>
  <c r="W175" i="34"/>
  <c r="Q174" i="33"/>
  <c r="W179" i="34"/>
  <c r="Q178" i="33"/>
  <c r="W185" i="34"/>
  <c r="Q184" i="33"/>
  <c r="W23" i="34"/>
  <c r="W22" i="34" s="1"/>
  <c r="Q23" i="33"/>
  <c r="Q22" i="33" s="1"/>
  <c r="W133" i="34"/>
  <c r="Q132" i="33"/>
  <c r="W137" i="34"/>
  <c r="Q136" i="33"/>
  <c r="W160" i="34"/>
  <c r="Q159" i="33"/>
  <c r="W170" i="34"/>
  <c r="Q169" i="33"/>
  <c r="W176" i="34"/>
  <c r="Q175" i="33"/>
  <c r="W180" i="34"/>
  <c r="Q179" i="33"/>
  <c r="W186" i="34"/>
  <c r="Q185" i="33"/>
  <c r="W70" i="34"/>
  <c r="Q70" i="33"/>
  <c r="W127" i="34"/>
  <c r="W126" i="34" s="1"/>
  <c r="Q127" i="33"/>
  <c r="Q126" i="33" s="1"/>
  <c r="W134" i="34"/>
  <c r="Q133" i="33"/>
  <c r="W157" i="34"/>
  <c r="Q156" i="33"/>
  <c r="W161" i="34"/>
  <c r="Q160" i="33"/>
  <c r="W171" i="34"/>
  <c r="Q170" i="33"/>
  <c r="W177" i="34"/>
  <c r="Q176" i="33"/>
  <c r="W183" i="34"/>
  <c r="Q182" i="33"/>
  <c r="W148" i="34"/>
  <c r="W147" i="34" s="1"/>
  <c r="Q147" i="33"/>
  <c r="W71" i="34"/>
  <c r="Q71" i="33"/>
  <c r="W131" i="34"/>
  <c r="Q130" i="33"/>
  <c r="W135" i="34"/>
  <c r="Q134" i="33"/>
  <c r="W158" i="34"/>
  <c r="Q157" i="33"/>
  <c r="W167" i="34"/>
  <c r="Q166" i="33"/>
  <c r="Q165" i="33" s="1"/>
  <c r="W172" i="34"/>
  <c r="Q171" i="33"/>
  <c r="W178" i="34"/>
  <c r="Q177" i="33"/>
  <c r="W184" i="34"/>
  <c r="Q183" i="33"/>
  <c r="U95" i="34"/>
  <c r="O83" i="33"/>
  <c r="O75" i="33"/>
  <c r="W76" i="34"/>
  <c r="Q76" i="33"/>
  <c r="W75" i="34"/>
  <c r="Q75" i="33"/>
  <c r="J34" i="16"/>
  <c r="J54" i="16"/>
  <c r="J111" i="16"/>
  <c r="J136" i="16"/>
  <c r="D110" i="36"/>
  <c r="E110" i="36" s="1"/>
  <c r="M86" i="1"/>
  <c r="O86" i="1" s="1"/>
  <c r="D46" i="36" s="1"/>
  <c r="G137" i="17"/>
  <c r="J137" i="17"/>
  <c r="K137" i="17"/>
  <c r="G111" i="17"/>
  <c r="J111" i="17"/>
  <c r="K111" i="17"/>
  <c r="J54" i="17"/>
  <c r="K54" i="17"/>
  <c r="J34" i="17"/>
  <c r="K34" i="17"/>
  <c r="H134" i="17"/>
  <c r="F134" i="17"/>
  <c r="E134" i="17"/>
  <c r="D134" i="17"/>
  <c r="A133" i="17"/>
  <c r="H171" i="17"/>
  <c r="F171" i="17"/>
  <c r="E171" i="17"/>
  <c r="D171" i="17"/>
  <c r="H170" i="17"/>
  <c r="F170" i="17"/>
  <c r="E170" i="17"/>
  <c r="D170" i="17"/>
  <c r="H169" i="17"/>
  <c r="F169" i="17"/>
  <c r="E169" i="17"/>
  <c r="D169" i="17"/>
  <c r="H168" i="17"/>
  <c r="F168" i="17"/>
  <c r="E168" i="17"/>
  <c r="D168" i="17"/>
  <c r="A167" i="17"/>
  <c r="H165" i="17"/>
  <c r="F165" i="17"/>
  <c r="E165" i="17"/>
  <c r="D165" i="17"/>
  <c r="H164" i="17"/>
  <c r="F164" i="17"/>
  <c r="E164" i="17"/>
  <c r="D164" i="17"/>
  <c r="H163" i="17"/>
  <c r="F163" i="17"/>
  <c r="E163" i="17"/>
  <c r="D163" i="17"/>
  <c r="H162" i="17"/>
  <c r="F162" i="17"/>
  <c r="E162" i="17"/>
  <c r="D162" i="17"/>
  <c r="H161" i="17"/>
  <c r="F161" i="17"/>
  <c r="E161" i="17"/>
  <c r="D161" i="17"/>
  <c r="H160" i="17"/>
  <c r="F160" i="17"/>
  <c r="E160" i="17"/>
  <c r="D160" i="17"/>
  <c r="A159" i="17"/>
  <c r="H157" i="17"/>
  <c r="F157" i="17"/>
  <c r="E157" i="17"/>
  <c r="D157" i="17"/>
  <c r="H156" i="17"/>
  <c r="F156" i="17"/>
  <c r="E156" i="17"/>
  <c r="D156" i="17"/>
  <c r="H155" i="17"/>
  <c r="F155" i="17"/>
  <c r="E155" i="17"/>
  <c r="D155" i="17"/>
  <c r="A154" i="17"/>
  <c r="H152" i="17"/>
  <c r="F152" i="17"/>
  <c r="E152" i="17"/>
  <c r="D152" i="17"/>
  <c r="A151" i="17"/>
  <c r="A148" i="17"/>
  <c r="H146" i="17"/>
  <c r="F146" i="17"/>
  <c r="E146" i="17"/>
  <c r="D146" i="17"/>
  <c r="H145" i="17"/>
  <c r="F145" i="17"/>
  <c r="E145" i="17"/>
  <c r="D145" i="17"/>
  <c r="H144" i="17"/>
  <c r="F144" i="17"/>
  <c r="E144" i="17"/>
  <c r="D144" i="17"/>
  <c r="H143" i="17"/>
  <c r="F143" i="17"/>
  <c r="E143" i="17"/>
  <c r="D143" i="17"/>
  <c r="H142" i="17"/>
  <c r="F142" i="17"/>
  <c r="E142" i="17"/>
  <c r="D142" i="17"/>
  <c r="A141" i="17"/>
  <c r="H139" i="17"/>
  <c r="F139" i="17"/>
  <c r="E139" i="17"/>
  <c r="D139" i="17"/>
  <c r="A138" i="17"/>
  <c r="A136" i="17"/>
  <c r="A240" i="36" s="1"/>
  <c r="H131" i="17"/>
  <c r="F131" i="17"/>
  <c r="E131" i="17"/>
  <c r="D131" i="17"/>
  <c r="H130" i="17"/>
  <c r="F130" i="17"/>
  <c r="E130" i="17"/>
  <c r="D130" i="17"/>
  <c r="H129" i="17"/>
  <c r="F129" i="17"/>
  <c r="E129" i="17"/>
  <c r="D129" i="17"/>
  <c r="H128" i="17"/>
  <c r="F128" i="17"/>
  <c r="E128" i="17"/>
  <c r="D128" i="17"/>
  <c r="H127" i="17"/>
  <c r="F127" i="17"/>
  <c r="E127" i="17"/>
  <c r="D127" i="17"/>
  <c r="H126" i="17"/>
  <c r="F126" i="17"/>
  <c r="E126" i="17"/>
  <c r="D126" i="17"/>
  <c r="A125" i="17"/>
  <c r="H123" i="17"/>
  <c r="F123" i="17"/>
  <c r="E123" i="17"/>
  <c r="D123" i="17"/>
  <c r="H122" i="17"/>
  <c r="F122" i="17"/>
  <c r="E122" i="17"/>
  <c r="D122" i="17"/>
  <c r="H120" i="17"/>
  <c r="F120" i="17"/>
  <c r="E120" i="17"/>
  <c r="D120" i="17"/>
  <c r="H119" i="17"/>
  <c r="F119" i="17"/>
  <c r="E119" i="17"/>
  <c r="D119" i="17"/>
  <c r="H118" i="17"/>
  <c r="F118" i="17"/>
  <c r="E118" i="17"/>
  <c r="D118" i="17"/>
  <c r="H117" i="17"/>
  <c r="F117" i="17"/>
  <c r="E117" i="17"/>
  <c r="D117" i="17"/>
  <c r="A116" i="17"/>
  <c r="H113" i="17"/>
  <c r="F113" i="17"/>
  <c r="E113" i="17"/>
  <c r="D113" i="17"/>
  <c r="A112" i="17"/>
  <c r="A110" i="17"/>
  <c r="A195" i="36" s="1"/>
  <c r="H108" i="17"/>
  <c r="F108" i="17"/>
  <c r="E108" i="17"/>
  <c r="D108" i="17"/>
  <c r="H106" i="17"/>
  <c r="F106" i="17"/>
  <c r="E106" i="17"/>
  <c r="D106" i="17"/>
  <c r="H105" i="17"/>
  <c r="F105" i="17"/>
  <c r="E105" i="17"/>
  <c r="D105" i="17"/>
  <c r="H103" i="17"/>
  <c r="F103" i="17"/>
  <c r="E103" i="17"/>
  <c r="D103" i="17"/>
  <c r="H102" i="17"/>
  <c r="F102" i="17"/>
  <c r="E102" i="17"/>
  <c r="D102" i="17"/>
  <c r="H101" i="17"/>
  <c r="F101" i="17"/>
  <c r="E101" i="17"/>
  <c r="D101" i="17"/>
  <c r="H100" i="17"/>
  <c r="F100" i="17"/>
  <c r="E100" i="17"/>
  <c r="D100" i="17"/>
  <c r="H99" i="17"/>
  <c r="F99" i="17"/>
  <c r="E99" i="17"/>
  <c r="D99" i="17"/>
  <c r="H98" i="17"/>
  <c r="F98" i="17"/>
  <c r="E98" i="17"/>
  <c r="D98" i="17"/>
  <c r="H97" i="17"/>
  <c r="F97" i="17"/>
  <c r="E97" i="17"/>
  <c r="D97" i="17"/>
  <c r="H96" i="17"/>
  <c r="F96" i="17"/>
  <c r="E96" i="17"/>
  <c r="D96" i="17"/>
  <c r="H95" i="17"/>
  <c r="F95" i="17"/>
  <c r="E95" i="17"/>
  <c r="D95" i="17"/>
  <c r="H94" i="17"/>
  <c r="F94" i="17"/>
  <c r="E94" i="17"/>
  <c r="D94" i="17"/>
  <c r="A89" i="17"/>
  <c r="H87" i="17"/>
  <c r="F87" i="17"/>
  <c r="E87" i="17"/>
  <c r="D87" i="17"/>
  <c r="H86" i="17"/>
  <c r="F86" i="17"/>
  <c r="E86" i="17"/>
  <c r="D86" i="17"/>
  <c r="A85" i="17"/>
  <c r="H82" i="17"/>
  <c r="F82" i="17"/>
  <c r="E82" i="17"/>
  <c r="D82" i="17"/>
  <c r="H81" i="17"/>
  <c r="F81" i="17"/>
  <c r="E81" i="17"/>
  <c r="D81" i="17"/>
  <c r="A80" i="17"/>
  <c r="H78" i="17"/>
  <c r="F78" i="17"/>
  <c r="E78" i="17"/>
  <c r="D78" i="17"/>
  <c r="H77" i="17"/>
  <c r="F77" i="17"/>
  <c r="E77" i="17"/>
  <c r="D77" i="17"/>
  <c r="H73" i="17"/>
  <c r="F73" i="17"/>
  <c r="E73" i="17"/>
  <c r="D73" i="17"/>
  <c r="A72" i="17"/>
  <c r="H70" i="17"/>
  <c r="F70" i="17"/>
  <c r="E70" i="17"/>
  <c r="D70" i="17"/>
  <c r="H69" i="17"/>
  <c r="F69" i="17"/>
  <c r="E69" i="17"/>
  <c r="D69" i="17"/>
  <c r="H68" i="17"/>
  <c r="F68" i="17"/>
  <c r="E68" i="17"/>
  <c r="D68" i="17"/>
  <c r="A67" i="17"/>
  <c r="H65" i="17"/>
  <c r="F65" i="17"/>
  <c r="E65" i="17"/>
  <c r="D65" i="17"/>
  <c r="H64" i="17"/>
  <c r="F64" i="17"/>
  <c r="E64" i="17"/>
  <c r="D64" i="17"/>
  <c r="H63" i="17"/>
  <c r="F63" i="17"/>
  <c r="E63" i="17"/>
  <c r="D63" i="17"/>
  <c r="H62" i="17"/>
  <c r="F62" i="17"/>
  <c r="E62" i="17"/>
  <c r="D62" i="17"/>
  <c r="H60" i="17"/>
  <c r="F60" i="17"/>
  <c r="E60" i="17"/>
  <c r="D60" i="17"/>
  <c r="H59" i="17"/>
  <c r="F59" i="17"/>
  <c r="E59" i="17"/>
  <c r="D59" i="17"/>
  <c r="H58" i="17"/>
  <c r="F58" i="17"/>
  <c r="E58" i="17"/>
  <c r="D58" i="17"/>
  <c r="H57" i="17"/>
  <c r="F57" i="17"/>
  <c r="E57" i="17"/>
  <c r="D57" i="17"/>
  <c r="H56" i="17"/>
  <c r="F56" i="17"/>
  <c r="E56" i="17"/>
  <c r="D56" i="17"/>
  <c r="A55" i="17"/>
  <c r="A53" i="17"/>
  <c r="A84" i="36" s="1"/>
  <c r="H51" i="17"/>
  <c r="F51" i="17"/>
  <c r="E51" i="17"/>
  <c r="D51" i="17"/>
  <c r="H50" i="17"/>
  <c r="F50" i="17"/>
  <c r="E50" i="17"/>
  <c r="D50" i="17"/>
  <c r="H47" i="17"/>
  <c r="F47" i="17"/>
  <c r="E47" i="17"/>
  <c r="D47" i="17"/>
  <c r="H45" i="17"/>
  <c r="F45" i="17"/>
  <c r="E45" i="17"/>
  <c r="D45" i="17"/>
  <c r="H44" i="17"/>
  <c r="F44" i="17"/>
  <c r="E44" i="17"/>
  <c r="D44" i="17"/>
  <c r="H43" i="17"/>
  <c r="F43" i="17"/>
  <c r="E43" i="17"/>
  <c r="D43" i="17"/>
  <c r="H42" i="17"/>
  <c r="F42" i="17"/>
  <c r="E42" i="17"/>
  <c r="D42" i="17"/>
  <c r="H41" i="17"/>
  <c r="F41" i="17"/>
  <c r="E41" i="17"/>
  <c r="D41" i="17"/>
  <c r="H40" i="17"/>
  <c r="F40" i="17"/>
  <c r="E40" i="17"/>
  <c r="D40" i="17"/>
  <c r="A39" i="17"/>
  <c r="H37" i="17"/>
  <c r="F37" i="17"/>
  <c r="E37" i="17"/>
  <c r="D37" i="17"/>
  <c r="H36" i="17"/>
  <c r="F36" i="17"/>
  <c r="E36" i="17"/>
  <c r="D36" i="17"/>
  <c r="A35" i="17"/>
  <c r="A33" i="17"/>
  <c r="A48" i="36" s="1"/>
  <c r="H31" i="17"/>
  <c r="F31" i="17"/>
  <c r="E31" i="17"/>
  <c r="D31" i="17"/>
  <c r="H30" i="17"/>
  <c r="F30" i="17"/>
  <c r="E30" i="17"/>
  <c r="D30" i="17"/>
  <c r="A29" i="17"/>
  <c r="H27" i="17"/>
  <c r="F27" i="17"/>
  <c r="E27" i="17"/>
  <c r="D27" i="17"/>
  <c r="A26" i="17"/>
  <c r="H24" i="17"/>
  <c r="F24" i="17"/>
  <c r="E24" i="17"/>
  <c r="D24" i="17"/>
  <c r="H23" i="17"/>
  <c r="F23" i="17"/>
  <c r="E23" i="17"/>
  <c r="D23" i="17"/>
  <c r="H21" i="17"/>
  <c r="F21" i="17"/>
  <c r="E21" i="17"/>
  <c r="D21" i="17"/>
  <c r="A20" i="17"/>
  <c r="H18" i="17"/>
  <c r="F18" i="17"/>
  <c r="E18" i="17"/>
  <c r="D18" i="17"/>
  <c r="H17" i="17"/>
  <c r="F17" i="17"/>
  <c r="E17" i="17"/>
  <c r="D17" i="17"/>
  <c r="H16" i="17"/>
  <c r="F16" i="17"/>
  <c r="E16" i="17"/>
  <c r="D16" i="17"/>
  <c r="A15" i="17"/>
  <c r="H13" i="17"/>
  <c r="F13" i="17"/>
  <c r="E13" i="17"/>
  <c r="D13" i="17"/>
  <c r="H12" i="17"/>
  <c r="F12" i="17"/>
  <c r="E12" i="17"/>
  <c r="D12" i="17"/>
  <c r="A11" i="17"/>
  <c r="H9" i="17"/>
  <c r="F9" i="17"/>
  <c r="E9" i="17"/>
  <c r="D9" i="17"/>
  <c r="H8" i="17"/>
  <c r="F8" i="17"/>
  <c r="E8" i="17"/>
  <c r="D8" i="17"/>
  <c r="H7" i="17"/>
  <c r="F7" i="17"/>
  <c r="E7" i="17"/>
  <c r="D7" i="17"/>
  <c r="A5" i="17"/>
  <c r="A3" i="17"/>
  <c r="A3" i="36" s="1"/>
  <c r="E137" i="17"/>
  <c r="E111" i="17"/>
  <c r="B137" i="17"/>
  <c r="B111" i="17"/>
  <c r="F137" i="17"/>
  <c r="F111" i="17"/>
  <c r="I137" i="17"/>
  <c r="I111" i="17"/>
  <c r="D137" i="17"/>
  <c r="D111" i="17"/>
  <c r="A137" i="17"/>
  <c r="A111" i="17"/>
  <c r="C137" i="17"/>
  <c r="C111" i="17"/>
  <c r="H111" i="17"/>
  <c r="H137" i="17"/>
  <c r="D34" i="17"/>
  <c r="D54" i="17"/>
  <c r="A34" i="17"/>
  <c r="A54" i="17"/>
  <c r="E34" i="17"/>
  <c r="E54" i="17"/>
  <c r="H34" i="17"/>
  <c r="H54" i="17"/>
  <c r="F54" i="17"/>
  <c r="F34" i="17"/>
  <c r="I54" i="17"/>
  <c r="I34" i="17"/>
  <c r="C54" i="17"/>
  <c r="C34" i="17"/>
  <c r="G54" i="17"/>
  <c r="G34" i="17"/>
  <c r="A132" i="16"/>
  <c r="A166" i="16"/>
  <c r="A158" i="16"/>
  <c r="A153" i="16"/>
  <c r="A150" i="16"/>
  <c r="A147" i="16"/>
  <c r="A140" i="16"/>
  <c r="K136" i="16"/>
  <c r="A137" i="16"/>
  <c r="A135" i="16"/>
  <c r="A125" i="16"/>
  <c r="A116" i="16"/>
  <c r="K111" i="16"/>
  <c r="A112" i="16"/>
  <c r="A110" i="16"/>
  <c r="A85" i="16"/>
  <c r="A80" i="16"/>
  <c r="A72" i="16"/>
  <c r="A67" i="16"/>
  <c r="K54" i="16"/>
  <c r="A55" i="16"/>
  <c r="A53" i="16"/>
  <c r="A39" i="16"/>
  <c r="K34" i="16"/>
  <c r="A35" i="16"/>
  <c r="A33" i="16"/>
  <c r="A29" i="16"/>
  <c r="A26" i="16"/>
  <c r="A20" i="16"/>
  <c r="A15" i="16"/>
  <c r="A11" i="16"/>
  <c r="A5" i="16"/>
  <c r="A3" i="16"/>
  <c r="A34" i="16"/>
  <c r="A136" i="16"/>
  <c r="A54" i="16"/>
  <c r="A111" i="16"/>
  <c r="I136" i="16"/>
  <c r="I111" i="16"/>
  <c r="I54" i="16"/>
  <c r="I34" i="16"/>
  <c r="C136" i="16"/>
  <c r="C111" i="16"/>
  <c r="C54" i="16"/>
  <c r="C34" i="16"/>
  <c r="A132" i="15"/>
  <c r="A166" i="15"/>
  <c r="A158" i="15"/>
  <c r="A153" i="15"/>
  <c r="A150" i="15"/>
  <c r="H133" i="15"/>
  <c r="G133" i="15"/>
  <c r="F133" i="15"/>
  <c r="E133" i="15"/>
  <c r="D133" i="15"/>
  <c r="H170" i="15"/>
  <c r="G170" i="15"/>
  <c r="F170" i="15"/>
  <c r="E170" i="15"/>
  <c r="D170" i="15"/>
  <c r="H169" i="15"/>
  <c r="G169" i="15"/>
  <c r="F169" i="15"/>
  <c r="E169" i="15"/>
  <c r="D169" i="15"/>
  <c r="H168" i="15"/>
  <c r="G168" i="15"/>
  <c r="F168" i="15"/>
  <c r="E168" i="15"/>
  <c r="D168" i="15"/>
  <c r="H167" i="15"/>
  <c r="G167" i="15"/>
  <c r="F167" i="15"/>
  <c r="E167" i="15"/>
  <c r="D167" i="15"/>
  <c r="H164" i="15"/>
  <c r="G164" i="15"/>
  <c r="F164" i="15"/>
  <c r="E164" i="15"/>
  <c r="D164" i="15"/>
  <c r="H163" i="15"/>
  <c r="G163" i="15"/>
  <c r="F163" i="15"/>
  <c r="E163" i="15"/>
  <c r="D163" i="15"/>
  <c r="H162" i="15"/>
  <c r="G162" i="15"/>
  <c r="F162" i="15"/>
  <c r="E162" i="15"/>
  <c r="D162" i="15"/>
  <c r="H161" i="15"/>
  <c r="G161" i="15"/>
  <c r="F161" i="15"/>
  <c r="E161" i="15"/>
  <c r="D161" i="15"/>
  <c r="H160" i="15"/>
  <c r="G160" i="15"/>
  <c r="F160" i="15"/>
  <c r="E160" i="15"/>
  <c r="D160" i="15"/>
  <c r="H159" i="15"/>
  <c r="G159" i="15"/>
  <c r="F159" i="15"/>
  <c r="E159" i="15"/>
  <c r="D159" i="15"/>
  <c r="H156" i="15"/>
  <c r="G156" i="15"/>
  <c r="F156" i="15"/>
  <c r="E156" i="15"/>
  <c r="D156" i="15"/>
  <c r="H155" i="15"/>
  <c r="G155" i="15"/>
  <c r="F155" i="15"/>
  <c r="E155" i="15"/>
  <c r="D155" i="15"/>
  <c r="H154" i="15"/>
  <c r="G154" i="15"/>
  <c r="F154" i="15"/>
  <c r="E154" i="15"/>
  <c r="D154" i="15"/>
  <c r="H151" i="15"/>
  <c r="G151" i="15"/>
  <c r="F151" i="15"/>
  <c r="E151" i="15"/>
  <c r="D151" i="15"/>
  <c r="D145" i="16"/>
  <c r="E145" i="16"/>
  <c r="F145" i="16"/>
  <c r="G145" i="16"/>
  <c r="H145" i="16"/>
  <c r="D64" i="16"/>
  <c r="E64" i="16"/>
  <c r="F64" i="16"/>
  <c r="G64" i="16"/>
  <c r="H64" i="16"/>
  <c r="D65" i="16"/>
  <c r="E65" i="16"/>
  <c r="F65" i="16"/>
  <c r="G65" i="16"/>
  <c r="H65" i="16"/>
  <c r="D63" i="16"/>
  <c r="E63" i="16"/>
  <c r="F63" i="16"/>
  <c r="G63" i="16"/>
  <c r="H63" i="16"/>
  <c r="D58" i="16"/>
  <c r="E58" i="16"/>
  <c r="F58" i="16"/>
  <c r="G58" i="16"/>
  <c r="H58" i="16"/>
  <c r="D57" i="16"/>
  <c r="E57" i="16"/>
  <c r="F57" i="16"/>
  <c r="G57" i="16"/>
  <c r="H57" i="16"/>
  <c r="O26" i="33"/>
  <c r="I197" i="16"/>
  <c r="C198" i="16"/>
  <c r="C199" i="16"/>
  <c r="C200" i="16"/>
  <c r="C201" i="16"/>
  <c r="A195" i="16"/>
  <c r="A190" i="16"/>
  <c r="A184" i="16"/>
  <c r="A176" i="16"/>
  <c r="H133" i="16"/>
  <c r="G133" i="16"/>
  <c r="F133" i="16"/>
  <c r="E133" i="16"/>
  <c r="D133" i="16"/>
  <c r="H170" i="16"/>
  <c r="G170" i="16"/>
  <c r="F170" i="16"/>
  <c r="E170" i="16"/>
  <c r="D170" i="16"/>
  <c r="H169" i="16"/>
  <c r="G169" i="16"/>
  <c r="F169" i="16"/>
  <c r="E169" i="16"/>
  <c r="D169" i="16"/>
  <c r="H168" i="16"/>
  <c r="G168" i="16"/>
  <c r="F168" i="16"/>
  <c r="E168" i="16"/>
  <c r="D168" i="16"/>
  <c r="H167" i="16"/>
  <c r="G167" i="16"/>
  <c r="F167" i="16"/>
  <c r="E167" i="16"/>
  <c r="D167" i="16"/>
  <c r="H164" i="16"/>
  <c r="G164" i="16"/>
  <c r="F164" i="16"/>
  <c r="E164" i="16"/>
  <c r="D164" i="16"/>
  <c r="H163" i="16"/>
  <c r="G163" i="16"/>
  <c r="F163" i="16"/>
  <c r="E163" i="16"/>
  <c r="D163" i="16"/>
  <c r="H162" i="16"/>
  <c r="G162" i="16"/>
  <c r="F162" i="16"/>
  <c r="E162" i="16"/>
  <c r="D162" i="16"/>
  <c r="H161" i="16"/>
  <c r="G161" i="16"/>
  <c r="F161" i="16"/>
  <c r="E161" i="16"/>
  <c r="D161" i="16"/>
  <c r="H160" i="16"/>
  <c r="G160" i="16"/>
  <c r="F160" i="16"/>
  <c r="E160" i="16"/>
  <c r="D160" i="16"/>
  <c r="H159" i="16"/>
  <c r="G159" i="16"/>
  <c r="F159" i="16"/>
  <c r="E159" i="16"/>
  <c r="D159" i="16"/>
  <c r="H156" i="16"/>
  <c r="G156" i="16"/>
  <c r="F156" i="16"/>
  <c r="E156" i="16"/>
  <c r="D156" i="16"/>
  <c r="H155" i="16"/>
  <c r="G155" i="16"/>
  <c r="F155" i="16"/>
  <c r="E155" i="16"/>
  <c r="D155" i="16"/>
  <c r="H154" i="16"/>
  <c r="G154" i="16"/>
  <c r="F154" i="16"/>
  <c r="E154" i="16"/>
  <c r="D154" i="16"/>
  <c r="H151" i="16"/>
  <c r="G151" i="16"/>
  <c r="F151" i="16"/>
  <c r="E151" i="16"/>
  <c r="D151" i="16"/>
  <c r="H148" i="16"/>
  <c r="G148" i="16"/>
  <c r="F148" i="16"/>
  <c r="E148" i="16"/>
  <c r="D148" i="16"/>
  <c r="H144" i="16"/>
  <c r="G144" i="16"/>
  <c r="F144" i="16"/>
  <c r="E144" i="16"/>
  <c r="D144" i="16"/>
  <c r="H143" i="16"/>
  <c r="G143" i="16"/>
  <c r="F143" i="16"/>
  <c r="E143" i="16"/>
  <c r="D143" i="16"/>
  <c r="H142" i="16"/>
  <c r="G142" i="16"/>
  <c r="F142" i="16"/>
  <c r="E142" i="16"/>
  <c r="D142" i="16"/>
  <c r="H141" i="16"/>
  <c r="G141" i="16"/>
  <c r="F141" i="16"/>
  <c r="E141" i="16"/>
  <c r="D141" i="16"/>
  <c r="H138" i="16"/>
  <c r="G138" i="16"/>
  <c r="F138" i="16"/>
  <c r="E138" i="16"/>
  <c r="D138" i="16"/>
  <c r="H131" i="16"/>
  <c r="G131" i="16"/>
  <c r="F131" i="16"/>
  <c r="E131" i="16"/>
  <c r="D131" i="16"/>
  <c r="H130" i="16"/>
  <c r="G130" i="16"/>
  <c r="F130" i="16"/>
  <c r="E130" i="16"/>
  <c r="D130" i="16"/>
  <c r="H129" i="16"/>
  <c r="G129" i="16"/>
  <c r="F129" i="16"/>
  <c r="E129" i="16"/>
  <c r="D129" i="16"/>
  <c r="H128" i="16"/>
  <c r="G128" i="16"/>
  <c r="F128" i="16"/>
  <c r="E128" i="16"/>
  <c r="D128" i="16"/>
  <c r="H127" i="16"/>
  <c r="G127" i="16"/>
  <c r="F127" i="16"/>
  <c r="E127" i="16"/>
  <c r="D127" i="16"/>
  <c r="H126" i="16"/>
  <c r="G126" i="16"/>
  <c r="F126" i="16"/>
  <c r="E126" i="16"/>
  <c r="D126" i="16"/>
  <c r="H123" i="16"/>
  <c r="G123" i="16"/>
  <c r="F123" i="16"/>
  <c r="E123" i="16"/>
  <c r="D123" i="16"/>
  <c r="H122" i="16"/>
  <c r="G122" i="16"/>
  <c r="F122" i="16"/>
  <c r="E122" i="16"/>
  <c r="D122" i="16"/>
  <c r="H120" i="16"/>
  <c r="G120" i="16"/>
  <c r="F120" i="16"/>
  <c r="E120" i="16"/>
  <c r="D120" i="16"/>
  <c r="H119" i="16"/>
  <c r="G119" i="16"/>
  <c r="F119" i="16"/>
  <c r="E119" i="16"/>
  <c r="D119" i="16"/>
  <c r="H118" i="16"/>
  <c r="G118" i="16"/>
  <c r="F118" i="16"/>
  <c r="E118" i="16"/>
  <c r="D118" i="16"/>
  <c r="H117" i="16"/>
  <c r="G117" i="16"/>
  <c r="F117" i="16"/>
  <c r="E117" i="16"/>
  <c r="D117" i="16"/>
  <c r="H113" i="16"/>
  <c r="G113" i="16"/>
  <c r="F113" i="16"/>
  <c r="E113" i="16"/>
  <c r="D113" i="16"/>
  <c r="H108" i="16"/>
  <c r="G108" i="16"/>
  <c r="F108" i="16"/>
  <c r="E108" i="16"/>
  <c r="D108" i="16"/>
  <c r="H106" i="16"/>
  <c r="G106" i="16"/>
  <c r="F106" i="16"/>
  <c r="E106" i="16"/>
  <c r="D106" i="16"/>
  <c r="H105" i="16"/>
  <c r="G105" i="16"/>
  <c r="F105" i="16"/>
  <c r="E105" i="16"/>
  <c r="D105" i="16"/>
  <c r="H103" i="16"/>
  <c r="G103" i="16"/>
  <c r="F103" i="16"/>
  <c r="E103" i="16"/>
  <c r="D103" i="16"/>
  <c r="H102" i="16"/>
  <c r="G102" i="16"/>
  <c r="F102" i="16"/>
  <c r="E102" i="16"/>
  <c r="D102" i="16"/>
  <c r="H101" i="16"/>
  <c r="G101" i="16"/>
  <c r="F101" i="16"/>
  <c r="E101" i="16"/>
  <c r="D101" i="16"/>
  <c r="H100" i="16"/>
  <c r="G100" i="16"/>
  <c r="F100" i="16"/>
  <c r="E100" i="16"/>
  <c r="D100" i="16"/>
  <c r="H99" i="16"/>
  <c r="G99" i="16"/>
  <c r="F99" i="16"/>
  <c r="E99" i="16"/>
  <c r="D99" i="16"/>
  <c r="H98" i="16"/>
  <c r="G98" i="16"/>
  <c r="F98" i="16"/>
  <c r="E98" i="16"/>
  <c r="D98" i="16"/>
  <c r="H97" i="16"/>
  <c r="G97" i="16"/>
  <c r="F97" i="16"/>
  <c r="E97" i="16"/>
  <c r="D97" i="16"/>
  <c r="H96" i="16"/>
  <c r="G96" i="16"/>
  <c r="F96" i="16"/>
  <c r="E96" i="16"/>
  <c r="D96" i="16"/>
  <c r="H95" i="16"/>
  <c r="G95" i="16"/>
  <c r="F95" i="16"/>
  <c r="E95" i="16"/>
  <c r="D95" i="16"/>
  <c r="H94" i="16"/>
  <c r="G94" i="16"/>
  <c r="F94" i="16"/>
  <c r="E94" i="16"/>
  <c r="D94" i="16"/>
  <c r="H87" i="16"/>
  <c r="G87" i="16"/>
  <c r="F87" i="16"/>
  <c r="E87" i="16"/>
  <c r="D87" i="16"/>
  <c r="H86" i="16"/>
  <c r="G86" i="16"/>
  <c r="F86" i="16"/>
  <c r="E86" i="16"/>
  <c r="D86" i="16"/>
  <c r="H83" i="16"/>
  <c r="G83" i="16"/>
  <c r="F83" i="16"/>
  <c r="E83" i="16"/>
  <c r="D83" i="16"/>
  <c r="H82" i="16"/>
  <c r="G82" i="16"/>
  <c r="F82" i="16"/>
  <c r="E82" i="16"/>
  <c r="D82" i="16"/>
  <c r="H81" i="16"/>
  <c r="G81" i="16"/>
  <c r="F81" i="16"/>
  <c r="E81" i="16"/>
  <c r="D81" i="16"/>
  <c r="H78" i="16"/>
  <c r="G78" i="16"/>
  <c r="F78" i="16"/>
  <c r="E78" i="16"/>
  <c r="D78" i="16"/>
  <c r="H77" i="16"/>
  <c r="G77" i="16"/>
  <c r="F77" i="16"/>
  <c r="E77" i="16"/>
  <c r="D77" i="16"/>
  <c r="H74" i="16"/>
  <c r="G74" i="16"/>
  <c r="F74" i="16"/>
  <c r="E74" i="16"/>
  <c r="D74" i="16"/>
  <c r="H73" i="16"/>
  <c r="G73" i="16"/>
  <c r="F73" i="16"/>
  <c r="E73" i="16"/>
  <c r="D73" i="16"/>
  <c r="H70" i="16"/>
  <c r="G70" i="16"/>
  <c r="F70" i="16"/>
  <c r="E70" i="16"/>
  <c r="D70" i="16"/>
  <c r="H69" i="16"/>
  <c r="G69" i="16"/>
  <c r="F69" i="16"/>
  <c r="E69" i="16"/>
  <c r="D69" i="16"/>
  <c r="H68" i="16"/>
  <c r="G68" i="16"/>
  <c r="F68" i="16"/>
  <c r="E68" i="16"/>
  <c r="D68" i="16"/>
  <c r="H62" i="16"/>
  <c r="G62" i="16"/>
  <c r="F62" i="16"/>
  <c r="E62" i="16"/>
  <c r="D62" i="16"/>
  <c r="H60" i="16"/>
  <c r="G60" i="16"/>
  <c r="F60" i="16"/>
  <c r="E60" i="16"/>
  <c r="D60" i="16"/>
  <c r="H59" i="16"/>
  <c r="G59" i="16"/>
  <c r="F59" i="16"/>
  <c r="E59" i="16"/>
  <c r="D59" i="16"/>
  <c r="H56" i="16"/>
  <c r="G56" i="16"/>
  <c r="F56" i="16"/>
  <c r="E56" i="16"/>
  <c r="D56" i="16"/>
  <c r="H51" i="16"/>
  <c r="G51" i="16"/>
  <c r="F51" i="16"/>
  <c r="E51" i="16"/>
  <c r="D51" i="16"/>
  <c r="H50" i="16"/>
  <c r="G50" i="16"/>
  <c r="F50" i="16"/>
  <c r="E50" i="16"/>
  <c r="D50" i="16"/>
  <c r="H47" i="16"/>
  <c r="G47" i="16"/>
  <c r="F47" i="16"/>
  <c r="E47" i="16"/>
  <c r="D47" i="16"/>
  <c r="H45" i="16"/>
  <c r="G45" i="16"/>
  <c r="F45" i="16"/>
  <c r="E45" i="16"/>
  <c r="D45" i="16"/>
  <c r="H44" i="16"/>
  <c r="G44" i="16"/>
  <c r="F44" i="16"/>
  <c r="E44" i="16"/>
  <c r="D44" i="16"/>
  <c r="H43" i="16"/>
  <c r="G43" i="16"/>
  <c r="F43" i="16"/>
  <c r="E43" i="16"/>
  <c r="D43" i="16"/>
  <c r="H42" i="16"/>
  <c r="G42" i="16"/>
  <c r="F42" i="16"/>
  <c r="E42" i="16"/>
  <c r="D42" i="16"/>
  <c r="H41" i="16"/>
  <c r="G41" i="16"/>
  <c r="F41" i="16"/>
  <c r="E41" i="16"/>
  <c r="D41" i="16"/>
  <c r="H40" i="16"/>
  <c r="G40" i="16"/>
  <c r="F40" i="16"/>
  <c r="E40" i="16"/>
  <c r="D40" i="16"/>
  <c r="H37" i="16"/>
  <c r="G37" i="16"/>
  <c r="F37" i="16"/>
  <c r="E37" i="16"/>
  <c r="D37" i="16"/>
  <c r="H36" i="16"/>
  <c r="G36" i="16"/>
  <c r="F36" i="16"/>
  <c r="E36" i="16"/>
  <c r="D36" i="16"/>
  <c r="H31" i="16"/>
  <c r="G31" i="16"/>
  <c r="F31" i="16"/>
  <c r="E31" i="16"/>
  <c r="D31" i="16"/>
  <c r="H30" i="16"/>
  <c r="G30" i="16"/>
  <c r="F30" i="16"/>
  <c r="E30" i="16"/>
  <c r="D30" i="16"/>
  <c r="H27" i="16"/>
  <c r="G27" i="16"/>
  <c r="F27" i="16"/>
  <c r="E27" i="16"/>
  <c r="D27" i="16"/>
  <c r="H24" i="16"/>
  <c r="G24" i="16"/>
  <c r="F24" i="16"/>
  <c r="E24" i="16"/>
  <c r="D24" i="16"/>
  <c r="H23" i="16"/>
  <c r="G23" i="16"/>
  <c r="F23" i="16"/>
  <c r="E23" i="16"/>
  <c r="D23" i="16"/>
  <c r="H21" i="16"/>
  <c r="G21" i="16"/>
  <c r="F21" i="16"/>
  <c r="E21" i="16"/>
  <c r="D21" i="16"/>
  <c r="H18" i="16"/>
  <c r="G18" i="16"/>
  <c r="F18" i="16"/>
  <c r="E18" i="16"/>
  <c r="D18" i="16"/>
  <c r="H17" i="16"/>
  <c r="G17" i="16"/>
  <c r="F17" i="16"/>
  <c r="E17" i="16"/>
  <c r="D17" i="16"/>
  <c r="H16" i="16"/>
  <c r="G16" i="16"/>
  <c r="F16" i="16"/>
  <c r="E16" i="16"/>
  <c r="D16" i="16"/>
  <c r="H13" i="16"/>
  <c r="G13" i="16"/>
  <c r="F13" i="16"/>
  <c r="E13" i="16"/>
  <c r="D13" i="16"/>
  <c r="H12" i="16"/>
  <c r="G12" i="16"/>
  <c r="F12" i="16"/>
  <c r="E12" i="16"/>
  <c r="D12" i="16"/>
  <c r="H9" i="16"/>
  <c r="G9" i="16"/>
  <c r="F9" i="16"/>
  <c r="E9" i="16"/>
  <c r="D9" i="16"/>
  <c r="H8" i="16"/>
  <c r="G8" i="16"/>
  <c r="F8" i="16"/>
  <c r="E8" i="16"/>
  <c r="D8" i="16"/>
  <c r="W27" i="34"/>
  <c r="Q27" i="33"/>
  <c r="W26" i="34"/>
  <c r="Q26" i="33"/>
  <c r="U77" i="17"/>
  <c r="T77" i="17"/>
  <c r="S77" i="17"/>
  <c r="R77" i="17"/>
  <c r="Q77" i="17"/>
  <c r="P77" i="17"/>
  <c r="O77" i="17"/>
  <c r="N77" i="17"/>
  <c r="M77" i="17"/>
  <c r="L77" i="17"/>
  <c r="U5" i="17"/>
  <c r="T5" i="17"/>
  <c r="S5" i="17"/>
  <c r="R5" i="17"/>
  <c r="Q5" i="17"/>
  <c r="P5" i="17"/>
  <c r="O5" i="17"/>
  <c r="M5" i="17"/>
  <c r="L5" i="17"/>
  <c r="C175" i="16"/>
  <c r="D34" i="16"/>
  <c r="E111" i="16"/>
  <c r="F175" i="16"/>
  <c r="G175" i="16"/>
  <c r="H175" i="16"/>
  <c r="J175" i="16"/>
  <c r="J201" i="16"/>
  <c r="I201" i="16"/>
  <c r="H201" i="16"/>
  <c r="G201" i="16"/>
  <c r="F201" i="16"/>
  <c r="E201" i="16"/>
  <c r="D201" i="16"/>
  <c r="J200" i="16"/>
  <c r="I200" i="16"/>
  <c r="H200" i="16"/>
  <c r="G200" i="16"/>
  <c r="F200" i="16"/>
  <c r="E200" i="16"/>
  <c r="D200" i="16"/>
  <c r="J199" i="16"/>
  <c r="I199" i="16"/>
  <c r="H199" i="16"/>
  <c r="G199" i="16"/>
  <c r="F199" i="16"/>
  <c r="E199" i="16"/>
  <c r="D199" i="16"/>
  <c r="J198" i="16"/>
  <c r="I198" i="16"/>
  <c r="H198" i="16"/>
  <c r="G198" i="16"/>
  <c r="F198" i="16"/>
  <c r="E198" i="16"/>
  <c r="D198" i="16"/>
  <c r="J197" i="16"/>
  <c r="H197" i="16"/>
  <c r="G197" i="16"/>
  <c r="F197" i="16"/>
  <c r="E197" i="16"/>
  <c r="D197" i="16"/>
  <c r="K196" i="16"/>
  <c r="J196" i="16"/>
  <c r="I196" i="16"/>
  <c r="H196" i="16"/>
  <c r="G196" i="16"/>
  <c r="F196" i="16"/>
  <c r="E196" i="16"/>
  <c r="D196" i="16"/>
  <c r="C196" i="16"/>
  <c r="L194" i="16"/>
  <c r="K194" i="16"/>
  <c r="J194" i="16"/>
  <c r="I194" i="16"/>
  <c r="H194" i="16"/>
  <c r="G194" i="16"/>
  <c r="F194" i="16"/>
  <c r="E194" i="16"/>
  <c r="D194" i="16"/>
  <c r="C194" i="16"/>
  <c r="K193" i="16"/>
  <c r="J193" i="16"/>
  <c r="I193" i="16"/>
  <c r="H193" i="16"/>
  <c r="G193" i="16"/>
  <c r="F193" i="16"/>
  <c r="E193" i="16"/>
  <c r="D193" i="16"/>
  <c r="C193" i="16"/>
  <c r="K192" i="16"/>
  <c r="J192" i="16"/>
  <c r="I192" i="16"/>
  <c r="H192" i="16"/>
  <c r="G192" i="16"/>
  <c r="F192" i="16"/>
  <c r="E192" i="16"/>
  <c r="D192" i="16"/>
  <c r="C192" i="16"/>
  <c r="K191" i="16"/>
  <c r="J191" i="16"/>
  <c r="I191" i="16"/>
  <c r="H191" i="16"/>
  <c r="G191" i="16"/>
  <c r="F191" i="16"/>
  <c r="E191" i="16"/>
  <c r="D191" i="16"/>
  <c r="C191" i="16"/>
  <c r="J189" i="16"/>
  <c r="I189" i="16"/>
  <c r="H189" i="16"/>
  <c r="G189" i="16"/>
  <c r="F189" i="16"/>
  <c r="E189" i="16"/>
  <c r="D189" i="16"/>
  <c r="C189" i="16"/>
  <c r="K188" i="16"/>
  <c r="J188" i="16"/>
  <c r="I188" i="16"/>
  <c r="H188" i="16"/>
  <c r="G188" i="16"/>
  <c r="F188" i="16"/>
  <c r="E188" i="16"/>
  <c r="D188" i="16"/>
  <c r="C188" i="16"/>
  <c r="K187" i="16"/>
  <c r="J187" i="16"/>
  <c r="I187" i="16"/>
  <c r="H187" i="16"/>
  <c r="G187" i="16"/>
  <c r="F187" i="16"/>
  <c r="E187" i="16"/>
  <c r="D187" i="16"/>
  <c r="C187" i="16"/>
  <c r="K186" i="16"/>
  <c r="J186" i="16"/>
  <c r="I186" i="16"/>
  <c r="H186" i="16"/>
  <c r="G186" i="16"/>
  <c r="F186" i="16"/>
  <c r="E186" i="16"/>
  <c r="D186" i="16"/>
  <c r="C186" i="16"/>
  <c r="K185" i="16"/>
  <c r="J185" i="16"/>
  <c r="I185" i="16"/>
  <c r="H185" i="16"/>
  <c r="G185" i="16"/>
  <c r="F185" i="16"/>
  <c r="E185" i="16"/>
  <c r="D185" i="16"/>
  <c r="C185" i="16"/>
  <c r="J183" i="16"/>
  <c r="I183" i="16"/>
  <c r="H183" i="16"/>
  <c r="G183" i="16"/>
  <c r="F183" i="16"/>
  <c r="E183" i="16"/>
  <c r="D183" i="16"/>
  <c r="C183" i="16"/>
  <c r="I182" i="16"/>
  <c r="H182" i="16"/>
  <c r="G182" i="16"/>
  <c r="F182" i="16"/>
  <c r="E182" i="16"/>
  <c r="D182" i="16"/>
  <c r="C182" i="16"/>
  <c r="K181" i="16"/>
  <c r="J181" i="16"/>
  <c r="I181" i="16"/>
  <c r="H181" i="16"/>
  <c r="G181" i="16"/>
  <c r="F181" i="16"/>
  <c r="E181" i="16"/>
  <c r="D181" i="16"/>
  <c r="C181" i="16"/>
  <c r="K180" i="16"/>
  <c r="J180" i="16"/>
  <c r="I180" i="16"/>
  <c r="H180" i="16"/>
  <c r="G180" i="16"/>
  <c r="F180" i="16"/>
  <c r="E180" i="16"/>
  <c r="D180" i="16"/>
  <c r="C180" i="16"/>
  <c r="K179" i="16"/>
  <c r="J179" i="16"/>
  <c r="I179" i="16"/>
  <c r="H179" i="16"/>
  <c r="G179" i="16"/>
  <c r="F179" i="16"/>
  <c r="E179" i="16"/>
  <c r="D179" i="16"/>
  <c r="C179" i="16"/>
  <c r="K178" i="16"/>
  <c r="J178" i="16"/>
  <c r="I178" i="16"/>
  <c r="H178" i="16"/>
  <c r="G178" i="16"/>
  <c r="F178" i="16"/>
  <c r="E178" i="16"/>
  <c r="D178" i="16"/>
  <c r="C178" i="16"/>
  <c r="K177" i="16"/>
  <c r="J177" i="16"/>
  <c r="I177" i="16"/>
  <c r="H177" i="16"/>
  <c r="G177" i="16"/>
  <c r="F177" i="16"/>
  <c r="E177" i="16"/>
  <c r="D177" i="16"/>
  <c r="C177" i="16"/>
  <c r="L175" i="16"/>
  <c r="K175" i="16"/>
  <c r="D175" i="16"/>
  <c r="J174" i="16"/>
  <c r="I174" i="16"/>
  <c r="H174" i="16"/>
  <c r="G174" i="16"/>
  <c r="F174" i="16"/>
  <c r="E174" i="16"/>
  <c r="D174" i="16"/>
  <c r="C174" i="16"/>
  <c r="A174" i="16"/>
  <c r="U136" i="16"/>
  <c r="T136" i="16"/>
  <c r="S136" i="16"/>
  <c r="R136" i="16"/>
  <c r="Q136" i="16"/>
  <c r="P136" i="16"/>
  <c r="O136" i="16"/>
  <c r="N136" i="16"/>
  <c r="M136" i="16"/>
  <c r="L136" i="16"/>
  <c r="O54" i="16"/>
  <c r="N54" i="16"/>
  <c r="M54" i="16"/>
  <c r="L54" i="16"/>
  <c r="E54" i="16"/>
  <c r="E34" i="16"/>
  <c r="H7" i="16"/>
  <c r="G7" i="16"/>
  <c r="F7" i="16"/>
  <c r="E7" i="16"/>
  <c r="D7" i="16"/>
  <c r="U5" i="16"/>
  <c r="T5" i="16"/>
  <c r="S5" i="16"/>
  <c r="R5" i="16"/>
  <c r="Q5" i="16"/>
  <c r="P5" i="16"/>
  <c r="O5" i="16"/>
  <c r="N5" i="16"/>
  <c r="M5" i="16"/>
  <c r="A175" i="16"/>
  <c r="U82" i="15"/>
  <c r="T82" i="15"/>
  <c r="S82" i="15"/>
  <c r="R82" i="15"/>
  <c r="Q82" i="15"/>
  <c r="P82" i="15"/>
  <c r="O82" i="15"/>
  <c r="N82" i="15"/>
  <c r="M82" i="15"/>
  <c r="L82" i="15"/>
  <c r="U5" i="15"/>
  <c r="T5" i="15"/>
  <c r="S5" i="15"/>
  <c r="R5" i="15"/>
  <c r="Q5" i="15"/>
  <c r="P5" i="15"/>
  <c r="O5" i="15"/>
  <c r="N5" i="15"/>
  <c r="M5" i="15"/>
  <c r="C35" i="14"/>
  <c r="B35" i="14"/>
  <c r="C34" i="14"/>
  <c r="B34" i="14"/>
  <c r="C33" i="14"/>
  <c r="B33" i="14"/>
  <c r="C31" i="14"/>
  <c r="B31" i="14"/>
  <c r="C30" i="14"/>
  <c r="B30" i="14"/>
  <c r="C29" i="14"/>
  <c r="B29" i="14"/>
  <c r="B27" i="14"/>
  <c r="B26" i="14"/>
  <c r="B25" i="14"/>
  <c r="B24" i="14"/>
  <c r="C22" i="14"/>
  <c r="B22" i="14"/>
  <c r="B21" i="14"/>
  <c r="C20" i="14"/>
  <c r="B20" i="14"/>
  <c r="C19" i="14"/>
  <c r="B19" i="14"/>
  <c r="C18" i="14"/>
  <c r="B18" i="14"/>
  <c r="C17" i="14"/>
  <c r="B17" i="14"/>
  <c r="M614" i="1"/>
  <c r="M613" i="1"/>
  <c r="M601" i="1"/>
  <c r="M602" i="1"/>
  <c r="M603" i="1"/>
  <c r="M604" i="1"/>
  <c r="D111" i="16"/>
  <c r="H111" i="16"/>
  <c r="H34" i="16"/>
  <c r="E136" i="16"/>
  <c r="G34" i="16"/>
  <c r="F136" i="16"/>
  <c r="G136" i="16"/>
  <c r="F34" i="16"/>
  <c r="G54" i="16"/>
  <c r="G111" i="16"/>
  <c r="D136" i="16"/>
  <c r="H136" i="16"/>
  <c r="E175" i="16"/>
  <c r="I175" i="16"/>
  <c r="F54" i="16"/>
  <c r="F111" i="16"/>
  <c r="D54" i="16"/>
  <c r="H54" i="16"/>
  <c r="M283" i="1"/>
  <c r="M281" i="1"/>
  <c r="M280" i="1"/>
  <c r="R91" i="33" s="1"/>
  <c r="U89" i="34"/>
  <c r="M560" i="1"/>
  <c r="O560" i="1" s="1"/>
  <c r="D298" i="36" s="1"/>
  <c r="M489" i="1"/>
  <c r="O489" i="1" s="1"/>
  <c r="D256" i="36" s="1"/>
  <c r="D254" i="36"/>
  <c r="M484" i="1"/>
  <c r="O484" i="1" s="1"/>
  <c r="D253" i="36" s="1"/>
  <c r="M479" i="1"/>
  <c r="O479" i="1" s="1"/>
  <c r="D250" i="36" s="1"/>
  <c r="M474" i="1"/>
  <c r="O474" i="1" s="1"/>
  <c r="D247" i="36" s="1"/>
  <c r="M469" i="1"/>
  <c r="O469" i="1" s="1"/>
  <c r="D244" i="36" s="1"/>
  <c r="E244" i="36" s="1"/>
  <c r="M464" i="1"/>
  <c r="O464" i="1" s="1"/>
  <c r="D241" i="36" s="1"/>
  <c r="M416" i="1"/>
  <c r="O416" i="1" s="1"/>
  <c r="D215" i="36" s="1"/>
  <c r="M415" i="1"/>
  <c r="O415" i="1" s="1"/>
  <c r="D214" i="36" s="1"/>
  <c r="M401" i="1"/>
  <c r="O401" i="1" s="1"/>
  <c r="D209" i="36" s="1"/>
  <c r="E209" i="36" s="1"/>
  <c r="M400" i="1"/>
  <c r="O400" i="1" s="1"/>
  <c r="D208" i="36" s="1"/>
  <c r="M395" i="1"/>
  <c r="O395" i="1" s="1"/>
  <c r="D205" i="36" s="1"/>
  <c r="M396" i="1"/>
  <c r="M390" i="1"/>
  <c r="O390" i="1" s="1"/>
  <c r="M391" i="1"/>
  <c r="O391" i="1" s="1"/>
  <c r="D203" i="36" s="1"/>
  <c r="M374" i="1"/>
  <c r="O374" i="1" s="1"/>
  <c r="M354" i="1"/>
  <c r="O354" i="1" s="1"/>
  <c r="D185" i="36" s="1"/>
  <c r="M353" i="1"/>
  <c r="O353" i="1" s="1"/>
  <c r="D184" i="36" s="1"/>
  <c r="M349" i="1"/>
  <c r="O349" i="1" s="1"/>
  <c r="D182" i="36" s="1"/>
  <c r="M348" i="1"/>
  <c r="O348" i="1" s="1"/>
  <c r="D181" i="36" s="1"/>
  <c r="M229" i="1"/>
  <c r="O229" i="1" s="1"/>
  <c r="M199" i="1"/>
  <c r="O199" i="1" s="1"/>
  <c r="D100" i="36" s="1"/>
  <c r="E100" i="36" s="1"/>
  <c r="M170" i="1"/>
  <c r="O170" i="1" s="1"/>
  <c r="D86" i="36" s="1"/>
  <c r="M169" i="1"/>
  <c r="O169" i="1" s="1"/>
  <c r="D85" i="36" s="1"/>
  <c r="O56" i="33"/>
  <c r="O55" i="33" s="1"/>
  <c r="M142" i="1"/>
  <c r="O142" i="1" s="1"/>
  <c r="D71" i="36" s="1"/>
  <c r="M141" i="1"/>
  <c r="O141" i="1" s="1"/>
  <c r="M122" i="1"/>
  <c r="O122" i="1" s="1"/>
  <c r="D59" i="36" s="1"/>
  <c r="M121" i="1"/>
  <c r="O121" i="1" s="1"/>
  <c r="M94" i="1"/>
  <c r="O94" i="1" s="1"/>
  <c r="D50" i="36" s="1"/>
  <c r="M93" i="1"/>
  <c r="O93" i="1" s="1"/>
  <c r="U20" i="34"/>
  <c r="U19" i="34" s="1"/>
  <c r="U108" i="34"/>
  <c r="E633" i="1"/>
  <c r="U205" i="34" s="1"/>
  <c r="E621" i="1"/>
  <c r="U201" i="34" s="1"/>
  <c r="E616" i="1"/>
  <c r="U202" i="34" s="1"/>
  <c r="E627" i="1"/>
  <c r="E612" i="1"/>
  <c r="U200" i="34" s="1"/>
  <c r="E589" i="1"/>
  <c r="U195" i="34" s="1"/>
  <c r="O61" i="33"/>
  <c r="O60" i="33"/>
  <c r="Q93" i="33"/>
  <c r="O85" i="33"/>
  <c r="U52" i="34"/>
  <c r="W94" i="34"/>
  <c r="W95" i="34"/>
  <c r="W108" i="34"/>
  <c r="Q108" i="33"/>
  <c r="W145" i="34"/>
  <c r="Q144" i="33"/>
  <c r="W79" i="34"/>
  <c r="Q79" i="33"/>
  <c r="W80" i="34"/>
  <c r="Q80" i="33"/>
  <c r="W164" i="34"/>
  <c r="Q163" i="33"/>
  <c r="W20" i="34"/>
  <c r="W19" i="34" s="1"/>
  <c r="W50" i="34"/>
  <c r="Q20" i="33"/>
  <c r="Q19" i="33" s="1"/>
  <c r="Q50" i="33"/>
  <c r="W105" i="34"/>
  <c r="Q105" i="33"/>
  <c r="W100" i="34"/>
  <c r="Q100" i="33"/>
  <c r="W111" i="34"/>
  <c r="Q111" i="33"/>
  <c r="W102" i="34"/>
  <c r="Q102" i="33"/>
  <c r="W53" i="34"/>
  <c r="Q53" i="33"/>
  <c r="W143" i="34"/>
  <c r="Q142" i="33"/>
  <c r="W101" i="34"/>
  <c r="Q101" i="33"/>
  <c r="W51" i="34"/>
  <c r="Q51" i="33"/>
  <c r="W151" i="34"/>
  <c r="W150" i="34" s="1"/>
  <c r="Q150" i="33"/>
  <c r="Q149" i="33" s="1"/>
  <c r="W98" i="34"/>
  <c r="Q98" i="33"/>
  <c r="W109" i="34"/>
  <c r="Q109" i="33"/>
  <c r="W107" i="34"/>
  <c r="Q107" i="33"/>
  <c r="W144" i="34"/>
  <c r="Q143" i="33"/>
  <c r="W85" i="34"/>
  <c r="Q85" i="33"/>
  <c r="W89" i="34"/>
  <c r="Q89" i="33"/>
  <c r="W88" i="34"/>
  <c r="Q88" i="33"/>
  <c r="W104" i="34"/>
  <c r="Q104" i="33"/>
  <c r="W106" i="34"/>
  <c r="Q106" i="33"/>
  <c r="W99" i="34"/>
  <c r="Q99" i="33"/>
  <c r="W83" i="34"/>
  <c r="Q83" i="33"/>
  <c r="W140" i="34"/>
  <c r="Q139" i="33"/>
  <c r="W110" i="34"/>
  <c r="Q110" i="33"/>
  <c r="W112" i="34"/>
  <c r="Q112" i="33"/>
  <c r="W103" i="34"/>
  <c r="Q103" i="33"/>
  <c r="W154" i="34"/>
  <c r="W153" i="34" s="1"/>
  <c r="Q153" i="33"/>
  <c r="W84" i="34"/>
  <c r="Q84" i="33"/>
  <c r="W141" i="34"/>
  <c r="Q140" i="33"/>
  <c r="W142" i="34"/>
  <c r="Q141" i="33"/>
  <c r="W52" i="34"/>
  <c r="Q52" i="33"/>
  <c r="U59" i="34"/>
  <c r="U40" i="34"/>
  <c r="O31" i="33"/>
  <c r="U12" i="34"/>
  <c r="O46" i="33"/>
  <c r="W60" i="34"/>
  <c r="Q60" i="33"/>
  <c r="W62" i="34"/>
  <c r="Q62" i="33"/>
  <c r="W46" i="34"/>
  <c r="Q46" i="33"/>
  <c r="W38" i="34"/>
  <c r="Q38" i="33"/>
  <c r="W16" i="34"/>
  <c r="Q16" i="33"/>
  <c r="W42" i="34"/>
  <c r="Q42" i="33"/>
  <c r="W61" i="34"/>
  <c r="Q61" i="33"/>
  <c r="W66" i="34"/>
  <c r="Q66" i="33"/>
  <c r="W7" i="34"/>
  <c r="Q7" i="33"/>
  <c r="W17" i="34"/>
  <c r="Q17" i="33"/>
  <c r="W120" i="34"/>
  <c r="W41" i="34"/>
  <c r="Q120" i="33"/>
  <c r="Q41" i="33"/>
  <c r="W40" i="34"/>
  <c r="Q40" i="33"/>
  <c r="W15" i="34"/>
  <c r="Q15" i="33"/>
  <c r="W33" i="34"/>
  <c r="Q33" i="33"/>
  <c r="W121" i="34"/>
  <c r="Q121" i="33"/>
  <c r="W59" i="34"/>
  <c r="Q59" i="33"/>
  <c r="W67" i="34"/>
  <c r="Q67" i="33"/>
  <c r="W31" i="34"/>
  <c r="Q31" i="33"/>
  <c r="W8" i="34"/>
  <c r="Q8" i="33"/>
  <c r="W11" i="34"/>
  <c r="Q11" i="33"/>
  <c r="W36" i="34"/>
  <c r="Q36" i="33"/>
  <c r="W37" i="34"/>
  <c r="Q37" i="33"/>
  <c r="W32" i="34"/>
  <c r="Q32" i="33"/>
  <c r="W64" i="34"/>
  <c r="Q64" i="33"/>
  <c r="W63" i="34"/>
  <c r="Q63" i="33"/>
  <c r="W65" i="34"/>
  <c r="Q65" i="33"/>
  <c r="W117" i="34"/>
  <c r="W116" i="34" s="1"/>
  <c r="Q117" i="33"/>
  <c r="Q116" i="33" s="1"/>
  <c r="W6" i="34"/>
  <c r="Q6" i="33"/>
  <c r="W56" i="34"/>
  <c r="W55" i="34" s="1"/>
  <c r="W45" i="34"/>
  <c r="Q56" i="33"/>
  <c r="Q45" i="33"/>
  <c r="W12" i="34"/>
  <c r="Q12" i="33"/>
  <c r="W39" i="34"/>
  <c r="Q39" i="33"/>
  <c r="W124" i="34"/>
  <c r="W123" i="34" s="1"/>
  <c r="Q124" i="33"/>
  <c r="Q123" i="33" s="1"/>
  <c r="A25" i="6"/>
  <c r="A24" i="6"/>
  <c r="A23" i="6"/>
  <c r="A33" i="6"/>
  <c r="A32" i="6"/>
  <c r="A31" i="6"/>
  <c r="A30" i="6"/>
  <c r="A29" i="6"/>
  <c r="A28" i="6"/>
  <c r="A27" i="6"/>
  <c r="A26" i="6"/>
  <c r="A20" i="6"/>
  <c r="A19" i="6"/>
  <c r="A17" i="6"/>
  <c r="A16" i="6"/>
  <c r="A15" i="6"/>
  <c r="A12" i="6"/>
  <c r="A11" i="6"/>
  <c r="A9" i="6"/>
  <c r="A8" i="6"/>
  <c r="A7" i="6"/>
  <c r="A6" i="6"/>
  <c r="X91" i="34" l="1"/>
  <c r="C7" i="30"/>
  <c r="I65" i="30"/>
  <c r="I140" i="30"/>
  <c r="C168" i="29"/>
  <c r="C130" i="29"/>
  <c r="C102" i="29"/>
  <c r="I74" i="29"/>
  <c r="I151" i="29"/>
  <c r="I125" i="29"/>
  <c r="I97" i="29"/>
  <c r="C167" i="29"/>
  <c r="C122" i="29"/>
  <c r="I58" i="29"/>
  <c r="C36" i="29"/>
  <c r="C133" i="29"/>
  <c r="I123" i="29"/>
  <c r="I65" i="29"/>
  <c r="I41" i="29"/>
  <c r="C13" i="29"/>
  <c r="Q87" i="33"/>
  <c r="I16" i="36"/>
  <c r="I21" i="36"/>
  <c r="I27" i="36"/>
  <c r="I23" i="36"/>
  <c r="I35" i="36"/>
  <c r="I31" i="36"/>
  <c r="I44" i="36"/>
  <c r="I50" i="36"/>
  <c r="I73" i="36"/>
  <c r="I69" i="36"/>
  <c r="I65" i="36"/>
  <c r="I61" i="36"/>
  <c r="I57" i="36"/>
  <c r="I83" i="36"/>
  <c r="I79" i="36"/>
  <c r="I109" i="36"/>
  <c r="I105" i="36"/>
  <c r="I101" i="36"/>
  <c r="I97" i="36"/>
  <c r="I93" i="36"/>
  <c r="I89" i="36"/>
  <c r="I85" i="36"/>
  <c r="I116" i="36"/>
  <c r="I112" i="36"/>
  <c r="I123" i="36"/>
  <c r="I125" i="36"/>
  <c r="I129" i="36"/>
  <c r="I131" i="36"/>
  <c r="I139" i="36"/>
  <c r="I135" i="36"/>
  <c r="I143" i="36"/>
  <c r="I148" i="36"/>
  <c r="I192" i="36"/>
  <c r="I188" i="36"/>
  <c r="I184" i="36"/>
  <c r="I180" i="36"/>
  <c r="I176" i="36"/>
  <c r="I172" i="36"/>
  <c r="I168" i="36"/>
  <c r="I164" i="36"/>
  <c r="I160" i="36"/>
  <c r="I156" i="36"/>
  <c r="K177" i="36"/>
  <c r="I196" i="36"/>
  <c r="I201" i="36"/>
  <c r="I215" i="36"/>
  <c r="I211" i="36"/>
  <c r="I207" i="36"/>
  <c r="I203" i="36"/>
  <c r="I235" i="36"/>
  <c r="I231" i="36"/>
  <c r="I227" i="36"/>
  <c r="I223" i="36"/>
  <c r="K231" i="36"/>
  <c r="I240" i="36"/>
  <c r="I256" i="36"/>
  <c r="I252" i="36"/>
  <c r="I248" i="36"/>
  <c r="I244" i="36"/>
  <c r="I257" i="36"/>
  <c r="I259" i="36"/>
  <c r="I270" i="36"/>
  <c r="I266" i="36"/>
  <c r="I286" i="36"/>
  <c r="I282" i="36"/>
  <c r="I278" i="36"/>
  <c r="I274" i="36"/>
  <c r="I298" i="36"/>
  <c r="I294" i="36"/>
  <c r="I214" i="36"/>
  <c r="I210" i="36"/>
  <c r="I206" i="36"/>
  <c r="I202" i="36"/>
  <c r="I218" i="36"/>
  <c r="I234" i="36"/>
  <c r="I230" i="36"/>
  <c r="I226" i="36"/>
  <c r="I222" i="36"/>
  <c r="I242" i="36"/>
  <c r="I255" i="36"/>
  <c r="I251" i="36"/>
  <c r="I247" i="36"/>
  <c r="I258" i="36"/>
  <c r="I263" i="36"/>
  <c r="I264" i="36"/>
  <c r="I269" i="36"/>
  <c r="I265" i="36"/>
  <c r="I289" i="36"/>
  <c r="I285" i="36"/>
  <c r="I281" i="36"/>
  <c r="I277" i="36"/>
  <c r="I301" i="36"/>
  <c r="I297" i="36"/>
  <c r="I293" i="36"/>
  <c r="I26" i="28"/>
  <c r="C8" i="16"/>
  <c r="C36" i="16"/>
  <c r="I64" i="16"/>
  <c r="I89" i="16"/>
  <c r="I117" i="16"/>
  <c r="I150" i="16"/>
  <c r="I42" i="28"/>
  <c r="I58" i="28"/>
  <c r="J262" i="36"/>
  <c r="I36" i="16"/>
  <c r="C65" i="16"/>
  <c r="I105" i="16"/>
  <c r="C143" i="16"/>
  <c r="B1" i="15"/>
  <c r="I35" i="28"/>
  <c r="C120" i="30"/>
  <c r="I64" i="15"/>
  <c r="I18" i="15"/>
  <c r="K3" i="36"/>
  <c r="K32" i="36"/>
  <c r="K40" i="36"/>
  <c r="K131" i="36"/>
  <c r="J155" i="36"/>
  <c r="K215" i="36"/>
  <c r="C9" i="16"/>
  <c r="I16" i="16"/>
  <c r="I24" i="16"/>
  <c r="C37" i="16"/>
  <c r="I43" i="16"/>
  <c r="C51" i="16"/>
  <c r="I59" i="16"/>
  <c r="I65" i="16"/>
  <c r="I74" i="16"/>
  <c r="I82" i="16"/>
  <c r="C94" i="16"/>
  <c r="C100" i="16"/>
  <c r="C106" i="16"/>
  <c r="I118" i="16"/>
  <c r="I126" i="16"/>
  <c r="I131" i="16"/>
  <c r="I143" i="16"/>
  <c r="C154" i="16"/>
  <c r="I160" i="16"/>
  <c r="C167" i="16"/>
  <c r="C151" i="15"/>
  <c r="C159" i="15"/>
  <c r="C164" i="15"/>
  <c r="I80" i="28"/>
  <c r="I83" i="28"/>
  <c r="I123" i="28"/>
  <c r="I120" i="28"/>
  <c r="I121" i="28"/>
  <c r="N119" i="1"/>
  <c r="E88" i="4" s="1"/>
  <c r="C73" i="30"/>
  <c r="I81" i="30"/>
  <c r="I142" i="15"/>
  <c r="C138" i="15"/>
  <c r="C104" i="15"/>
  <c r="I60" i="15"/>
  <c r="C129" i="15"/>
  <c r="I98" i="15"/>
  <c r="I59" i="15"/>
  <c r="I97" i="15"/>
  <c r="C43" i="15"/>
  <c r="C120" i="15"/>
  <c r="I57" i="15"/>
  <c r="J2" i="36"/>
  <c r="K6" i="36"/>
  <c r="K31" i="36"/>
  <c r="K63" i="36"/>
  <c r="K94" i="36"/>
  <c r="K114" i="36"/>
  <c r="K138" i="36"/>
  <c r="K193" i="36"/>
  <c r="K161" i="36"/>
  <c r="K210" i="36"/>
  <c r="C102" i="28"/>
  <c r="J303" i="36"/>
  <c r="J305" i="36"/>
  <c r="J304" i="36"/>
  <c r="J198" i="36"/>
  <c r="J200" i="36"/>
  <c r="I114" i="16"/>
  <c r="I113" i="16"/>
  <c r="J199" i="36"/>
  <c r="C114" i="16"/>
  <c r="C113" i="16"/>
  <c r="J279" i="36"/>
  <c r="J268" i="36"/>
  <c r="J258" i="36"/>
  <c r="J255" i="36"/>
  <c r="J234" i="36"/>
  <c r="J202" i="36"/>
  <c r="J159" i="36"/>
  <c r="J191" i="36"/>
  <c r="J145" i="36"/>
  <c r="J129" i="36"/>
  <c r="J90" i="36"/>
  <c r="J64" i="36"/>
  <c r="J45" i="36"/>
  <c r="J34" i="36"/>
  <c r="J29" i="36"/>
  <c r="J17" i="36"/>
  <c r="J6" i="36"/>
  <c r="J14" i="36"/>
  <c r="N129" i="1"/>
  <c r="E89" i="4" s="1"/>
  <c r="N40" i="1"/>
  <c r="E71" i="4" s="1"/>
  <c r="J283" i="36"/>
  <c r="J272" i="36"/>
  <c r="J206" i="36"/>
  <c r="J163" i="36"/>
  <c r="J136" i="36"/>
  <c r="J94" i="36"/>
  <c r="J66" i="36"/>
  <c r="J47" i="36"/>
  <c r="J35" i="36"/>
  <c r="J22" i="36"/>
  <c r="J18" i="36"/>
  <c r="J7" i="36"/>
  <c r="J3" i="36"/>
  <c r="J264" i="36"/>
  <c r="J210" i="36"/>
  <c r="J167" i="36"/>
  <c r="J98" i="36"/>
  <c r="J68" i="36"/>
  <c r="J50" i="36"/>
  <c r="J36" i="36"/>
  <c r="J23" i="36"/>
  <c r="J19" i="36"/>
  <c r="J8" i="36"/>
  <c r="N346" i="1"/>
  <c r="S107" i="33" s="1"/>
  <c r="N408" i="1"/>
  <c r="S134" i="33" s="1"/>
  <c r="P134" i="33" s="1"/>
  <c r="N114" i="1"/>
  <c r="E87" i="4" s="1"/>
  <c r="J273" i="36"/>
  <c r="J219" i="36"/>
  <c r="J214" i="36"/>
  <c r="J171" i="36"/>
  <c r="J102" i="36"/>
  <c r="J70" i="36"/>
  <c r="J52" i="36"/>
  <c r="J48" i="36"/>
  <c r="J39" i="36"/>
  <c r="J37" i="36"/>
  <c r="J24" i="36"/>
  <c r="J21" i="36"/>
  <c r="J20" i="36"/>
  <c r="J15" i="36"/>
  <c r="J9" i="36"/>
  <c r="N244" i="1"/>
  <c r="S80" i="33" s="1"/>
  <c r="R80" i="33" s="1"/>
  <c r="N159" i="1"/>
  <c r="Y46" i="34" s="1"/>
  <c r="X46" i="34" s="1"/>
  <c r="N331" i="1"/>
  <c r="Y104" i="34" s="1"/>
  <c r="V104" i="34" s="1"/>
  <c r="J179" i="36"/>
  <c r="J113" i="36"/>
  <c r="J72" i="36"/>
  <c r="J31" i="36"/>
  <c r="J11" i="36"/>
  <c r="J293" i="36"/>
  <c r="J222" i="36"/>
  <c r="J218" i="36"/>
  <c r="J197" i="36"/>
  <c r="J183" i="36"/>
  <c r="J117" i="36"/>
  <c r="J80" i="36"/>
  <c r="J74" i="36"/>
  <c r="J32" i="36"/>
  <c r="J12" i="36"/>
  <c r="N109" i="1"/>
  <c r="E84" i="4" s="1"/>
  <c r="N467" i="1"/>
  <c r="E13" i="4" s="1"/>
  <c r="I168" i="16"/>
  <c r="C163" i="16"/>
  <c r="C159" i="16"/>
  <c r="I153" i="16"/>
  <c r="C145" i="16"/>
  <c r="C141" i="16"/>
  <c r="C130" i="16"/>
  <c r="C126" i="16"/>
  <c r="C120" i="16"/>
  <c r="I112" i="16"/>
  <c r="I104" i="16"/>
  <c r="I99" i="16"/>
  <c r="I95" i="16"/>
  <c r="I86" i="16"/>
  <c r="C81" i="16"/>
  <c r="C74" i="16"/>
  <c r="I68" i="16"/>
  <c r="C63" i="16"/>
  <c r="C58" i="16"/>
  <c r="I50" i="16"/>
  <c r="C45" i="16"/>
  <c r="C41" i="16"/>
  <c r="I35" i="16"/>
  <c r="C24" i="16"/>
  <c r="C18" i="16"/>
  <c r="J297" i="36"/>
  <c r="J226" i="36"/>
  <c r="J187" i="36"/>
  <c r="J76" i="36"/>
  <c r="J33" i="36"/>
  <c r="J16" i="36"/>
  <c r="J13" i="36"/>
  <c r="J230" i="36"/>
  <c r="J148" i="36"/>
  <c r="J126" i="36"/>
  <c r="J43" i="36"/>
  <c r="J38" i="36"/>
  <c r="N378" i="1"/>
  <c r="Y127" i="34" s="1"/>
  <c r="Y126" i="34" s="1"/>
  <c r="B1" i="16"/>
  <c r="I167" i="16"/>
  <c r="C162" i="16"/>
  <c r="I156" i="16"/>
  <c r="C151" i="16"/>
  <c r="C144" i="16"/>
  <c r="I138" i="16"/>
  <c r="C129" i="16"/>
  <c r="I123" i="16"/>
  <c r="C119" i="16"/>
  <c r="C108" i="16"/>
  <c r="I102" i="16"/>
  <c r="I98" i="16"/>
  <c r="I94" i="16"/>
  <c r="I85" i="16"/>
  <c r="I78" i="16"/>
  <c r="C73" i="16"/>
  <c r="I67" i="16"/>
  <c r="C62" i="16"/>
  <c r="C57" i="16"/>
  <c r="I49" i="16"/>
  <c r="C44" i="16"/>
  <c r="C40" i="16"/>
  <c r="C31" i="16"/>
  <c r="C23" i="16"/>
  <c r="C17" i="16"/>
  <c r="I11" i="16"/>
  <c r="C6" i="16"/>
  <c r="I15" i="16"/>
  <c r="I42" i="16"/>
  <c r="I58" i="16"/>
  <c r="I72" i="16"/>
  <c r="C98" i="16"/>
  <c r="C123" i="16"/>
  <c r="I142" i="16"/>
  <c r="I164" i="16"/>
  <c r="C151" i="28"/>
  <c r="I43" i="28"/>
  <c r="O134" i="36"/>
  <c r="O305" i="36"/>
  <c r="O303" i="36"/>
  <c r="O304" i="36"/>
  <c r="O199" i="36"/>
  <c r="C114" i="30"/>
  <c r="O200" i="36"/>
  <c r="I114" i="30"/>
  <c r="O198" i="36"/>
  <c r="I113" i="30"/>
  <c r="C113" i="30"/>
  <c r="O2" i="36"/>
  <c r="I94" i="30"/>
  <c r="C167" i="30"/>
  <c r="C57" i="30"/>
  <c r="C103" i="30"/>
  <c r="C94" i="30"/>
  <c r="C127" i="30"/>
  <c r="I100" i="30"/>
  <c r="I64" i="30"/>
  <c r="I145" i="30"/>
  <c r="I30" i="30"/>
  <c r="I47" i="30"/>
  <c r="C51" i="30"/>
  <c r="I77" i="30"/>
  <c r="C163" i="30"/>
  <c r="C56" i="30"/>
  <c r="I131" i="30"/>
  <c r="I18" i="30"/>
  <c r="C24" i="30"/>
  <c r="I31" i="30"/>
  <c r="I133" i="30"/>
  <c r="C74" i="30"/>
  <c r="C78" i="30"/>
  <c r="B1" i="30"/>
  <c r="I22" i="30"/>
  <c r="C31" i="30"/>
  <c r="I45" i="30"/>
  <c r="C130" i="30"/>
  <c r="I121" i="30"/>
  <c r="J4" i="36"/>
  <c r="J27" i="36"/>
  <c r="K303" i="36"/>
  <c r="K305" i="36"/>
  <c r="K304" i="36"/>
  <c r="I113" i="15"/>
  <c r="K200" i="36"/>
  <c r="K198" i="36"/>
  <c r="C113" i="15"/>
  <c r="I114" i="15"/>
  <c r="C114" i="15"/>
  <c r="K199" i="36"/>
  <c r="K2" i="36"/>
  <c r="K251" i="36"/>
  <c r="K240" i="36"/>
  <c r="K224" i="36"/>
  <c r="K232" i="36"/>
  <c r="K203" i="36"/>
  <c r="K211" i="36"/>
  <c r="K195" i="36"/>
  <c r="K155" i="36"/>
  <c r="K163" i="36"/>
  <c r="K171" i="36"/>
  <c r="K179" i="36"/>
  <c r="K187" i="36"/>
  <c r="K148" i="36"/>
  <c r="K140" i="36"/>
  <c r="K122" i="36"/>
  <c r="K115" i="36"/>
  <c r="K111" i="36"/>
  <c r="K88" i="36"/>
  <c r="K96" i="36"/>
  <c r="K104" i="36"/>
  <c r="K84" i="36"/>
  <c r="K80" i="36"/>
  <c r="K58" i="36"/>
  <c r="K66" i="36"/>
  <c r="K74" i="36"/>
  <c r="K52" i="36"/>
  <c r="K42" i="36"/>
  <c r="K34" i="36"/>
  <c r="K29" i="36"/>
  <c r="K10" i="36"/>
  <c r="I13" i="15"/>
  <c r="I43" i="15"/>
  <c r="C64" i="15"/>
  <c r="I96" i="15"/>
  <c r="I121" i="15"/>
  <c r="I17" i="15"/>
  <c r="I44" i="15"/>
  <c r="I74" i="15"/>
  <c r="C8" i="15"/>
  <c r="I29" i="15"/>
  <c r="I49" i="15"/>
  <c r="I70" i="15"/>
  <c r="C87" i="15"/>
  <c r="I106" i="15"/>
  <c r="C106" i="15"/>
  <c r="C142" i="15"/>
  <c r="I138" i="15"/>
  <c r="C100" i="15"/>
  <c r="I42" i="15"/>
  <c r="C122" i="15"/>
  <c r="C102" i="15"/>
  <c r="C144" i="15"/>
  <c r="C63" i="15"/>
  <c r="I129" i="15"/>
  <c r="K291" i="36"/>
  <c r="K244" i="36"/>
  <c r="K252" i="36"/>
  <c r="K225" i="36"/>
  <c r="K233" i="36"/>
  <c r="K204" i="36"/>
  <c r="K212" i="36"/>
  <c r="K156" i="36"/>
  <c r="K164" i="36"/>
  <c r="K172" i="36"/>
  <c r="K180" i="36"/>
  <c r="K188" i="36"/>
  <c r="K149" i="36"/>
  <c r="K133" i="36"/>
  <c r="K123" i="36"/>
  <c r="K116" i="36"/>
  <c r="K89" i="36"/>
  <c r="K97" i="36"/>
  <c r="K105" i="36"/>
  <c r="K81" i="36"/>
  <c r="K59" i="36"/>
  <c r="K67" i="36"/>
  <c r="K75" i="36"/>
  <c r="K53" i="36"/>
  <c r="K35" i="36"/>
  <c r="K22" i="36"/>
  <c r="K11" i="36"/>
  <c r="K292" i="36"/>
  <c r="K245" i="36"/>
  <c r="K253" i="36"/>
  <c r="K226" i="36"/>
  <c r="K234" i="36"/>
  <c r="K219" i="36"/>
  <c r="K205" i="36"/>
  <c r="K213" i="36"/>
  <c r="K157" i="36"/>
  <c r="K165" i="36"/>
  <c r="K173" i="36"/>
  <c r="K181" i="36"/>
  <c r="K189" i="36"/>
  <c r="K150" i="36"/>
  <c r="K134" i="36"/>
  <c r="K124" i="36"/>
  <c r="K117" i="36"/>
  <c r="K90" i="36"/>
  <c r="K98" i="36"/>
  <c r="K106" i="36"/>
  <c r="K82" i="36"/>
  <c r="K60" i="36"/>
  <c r="K68" i="36"/>
  <c r="K76" i="36"/>
  <c r="K48" i="36"/>
  <c r="K43" i="36"/>
  <c r="K39" i="36"/>
  <c r="K36" i="36"/>
  <c r="K23" i="36"/>
  <c r="K21" i="36"/>
  <c r="K16" i="36"/>
  <c r="K15" i="36"/>
  <c r="K4" i="36"/>
  <c r="K12" i="36"/>
  <c r="I22" i="15"/>
  <c r="C47" i="15"/>
  <c r="I68" i="15"/>
  <c r="I100" i="15"/>
  <c r="C6" i="15"/>
  <c r="I23" i="15"/>
  <c r="C57" i="15"/>
  <c r="I80" i="15"/>
  <c r="I12" i="15"/>
  <c r="C37" i="15"/>
  <c r="I55" i="15"/>
  <c r="C74" i="15"/>
  <c r="I94" i="15"/>
  <c r="I119" i="15"/>
  <c r="I123" i="15"/>
  <c r="I99" i="15"/>
  <c r="C143" i="15"/>
  <c r="C128" i="15"/>
  <c r="I67" i="15"/>
  <c r="C18" i="15"/>
  <c r="I112" i="15"/>
  <c r="I148" i="15"/>
  <c r="I103" i="15"/>
  <c r="C145" i="15"/>
  <c r="C91" i="15"/>
  <c r="K296" i="36"/>
  <c r="K246" i="36"/>
  <c r="K254" i="36"/>
  <c r="K227" i="36"/>
  <c r="K235" i="36"/>
  <c r="K206" i="36"/>
  <c r="K214" i="36"/>
  <c r="K196" i="36"/>
  <c r="K158" i="36"/>
  <c r="K166" i="36"/>
  <c r="K174" i="36"/>
  <c r="K182" i="36"/>
  <c r="K190" i="36"/>
  <c r="K151" i="36"/>
  <c r="K142" i="36"/>
  <c r="K135" i="36"/>
  <c r="K132" i="36"/>
  <c r="K127" i="36"/>
  <c r="K125" i="36"/>
  <c r="K120" i="36"/>
  <c r="K118" i="36"/>
  <c r="K91" i="36"/>
  <c r="K99" i="36"/>
  <c r="K107" i="36"/>
  <c r="K83" i="36"/>
  <c r="K78" i="36"/>
  <c r="K61" i="36"/>
  <c r="K69" i="36"/>
  <c r="K77" i="36"/>
  <c r="K44" i="36"/>
  <c r="K37" i="36"/>
  <c r="K24" i="36"/>
  <c r="K17" i="36"/>
  <c r="K5" i="36"/>
  <c r="K13" i="36"/>
  <c r="C30" i="15"/>
  <c r="C50" i="15"/>
  <c r="C73" i="15"/>
  <c r="C103" i="15"/>
  <c r="C7" i="15"/>
  <c r="I26" i="15"/>
  <c r="I58" i="15"/>
  <c r="C82" i="15"/>
  <c r="C17" i="15"/>
  <c r="C40" i="15"/>
  <c r="C58" i="15"/>
  <c r="C77" i="15"/>
  <c r="C97" i="15"/>
  <c r="C45" i="15"/>
  <c r="I126" i="15"/>
  <c r="C108" i="15"/>
  <c r="I144" i="15"/>
  <c r="C148" i="15"/>
  <c r="I73" i="15"/>
  <c r="I36" i="15"/>
  <c r="C119" i="15"/>
  <c r="I6" i="15"/>
  <c r="I107" i="15"/>
  <c r="K271" i="36"/>
  <c r="K249" i="36"/>
  <c r="K220" i="36"/>
  <c r="K236" i="36"/>
  <c r="K202" i="36"/>
  <c r="K218" i="36"/>
  <c r="K197" i="36"/>
  <c r="K194" i="36"/>
  <c r="K168" i="36"/>
  <c r="K184" i="36"/>
  <c r="K139" i="36"/>
  <c r="K86" i="36"/>
  <c r="K102" i="36"/>
  <c r="K79" i="36"/>
  <c r="K70" i="36"/>
  <c r="K45" i="36"/>
  <c r="K25" i="36"/>
  <c r="K19" i="36"/>
  <c r="K7" i="36"/>
  <c r="K278" i="36"/>
  <c r="K250" i="36"/>
  <c r="K241" i="36"/>
  <c r="K221" i="36"/>
  <c r="K207" i="36"/>
  <c r="K153" i="36"/>
  <c r="K169" i="36"/>
  <c r="K185" i="36"/>
  <c r="K143" i="36"/>
  <c r="K128" i="36"/>
  <c r="K87" i="36"/>
  <c r="K103" i="36"/>
  <c r="K55" i="36"/>
  <c r="K71" i="36"/>
  <c r="K49" i="36"/>
  <c r="K46" i="36"/>
  <c r="K26" i="36"/>
  <c r="K20" i="36"/>
  <c r="K8" i="36"/>
  <c r="I16" i="15"/>
  <c r="C60" i="15"/>
  <c r="I104" i="15"/>
  <c r="C16" i="15"/>
  <c r="C65" i="15"/>
  <c r="I9" i="15"/>
  <c r="I45" i="15"/>
  <c r="I78" i="15"/>
  <c r="C105" i="15"/>
  <c r="I130" i="15"/>
  <c r="I141" i="15"/>
  <c r="C24" i="15"/>
  <c r="I50" i="15"/>
  <c r="C141" i="15"/>
  <c r="I122" i="15"/>
  <c r="I133" i="15"/>
  <c r="C167" i="15"/>
  <c r="I161" i="15"/>
  <c r="C156" i="15"/>
  <c r="I150" i="15"/>
  <c r="K282" i="36"/>
  <c r="K255" i="36"/>
  <c r="K242" i="36"/>
  <c r="K222" i="36"/>
  <c r="K208" i="36"/>
  <c r="K154" i="36"/>
  <c r="K170" i="36"/>
  <c r="K186" i="36"/>
  <c r="K152" i="36"/>
  <c r="K147" i="36"/>
  <c r="K144" i="36"/>
  <c r="K129" i="36"/>
  <c r="K126" i="36"/>
  <c r="K92" i="36"/>
  <c r="K108" i="36"/>
  <c r="K56" i="36"/>
  <c r="K72" i="36"/>
  <c r="K54" i="36"/>
  <c r="K50" i="36"/>
  <c r="K47" i="36"/>
  <c r="K27" i="36"/>
  <c r="K9" i="36"/>
  <c r="K237" i="36"/>
  <c r="K286" i="36"/>
  <c r="K256" i="36"/>
  <c r="K223" i="36"/>
  <c r="K209" i="36"/>
  <c r="K201" i="36"/>
  <c r="K159" i="36"/>
  <c r="K175" i="36"/>
  <c r="K191" i="36"/>
  <c r="K145" i="36"/>
  <c r="K141" i="36"/>
  <c r="K130" i="36"/>
  <c r="K121" i="36"/>
  <c r="K93" i="36"/>
  <c r="K109" i="36"/>
  <c r="K57" i="36"/>
  <c r="K73" i="36"/>
  <c r="K51" i="36"/>
  <c r="K28" i="36"/>
  <c r="K14" i="36"/>
  <c r="C36" i="15"/>
  <c r="I65" i="15"/>
  <c r="I117" i="15"/>
  <c r="C31" i="15"/>
  <c r="I69" i="15"/>
  <c r="I21" i="15"/>
  <c r="C51" i="15"/>
  <c r="I83" i="15"/>
  <c r="I56" i="15"/>
  <c r="I140" i="15"/>
  <c r="C59" i="15"/>
  <c r="I47" i="15"/>
  <c r="C94" i="15"/>
  <c r="C12" i="15"/>
  <c r="C127" i="15"/>
  <c r="I132" i="15"/>
  <c r="I164" i="15"/>
  <c r="I160" i="15"/>
  <c r="C155" i="15"/>
  <c r="C16" i="16"/>
  <c r="C59" i="16"/>
  <c r="I93" i="16"/>
  <c r="C118" i="16"/>
  <c r="C160" i="16"/>
  <c r="C133" i="15"/>
  <c r="I69" i="28"/>
  <c r="I78" i="28"/>
  <c r="I154" i="30"/>
  <c r="I137" i="15"/>
  <c r="I51" i="15"/>
  <c r="J26" i="36"/>
  <c r="K64" i="36"/>
  <c r="K119" i="36"/>
  <c r="K162" i="36"/>
  <c r="K229" i="36"/>
  <c r="I9" i="16"/>
  <c r="I37" i="16"/>
  <c r="I60" i="16"/>
  <c r="I76" i="16"/>
  <c r="I100" i="16"/>
  <c r="C127" i="16"/>
  <c r="I144" i="16"/>
  <c r="C161" i="16"/>
  <c r="I151" i="15"/>
  <c r="I159" i="15"/>
  <c r="C164" i="28"/>
  <c r="I118" i="28"/>
  <c r="I45" i="28"/>
  <c r="C131" i="28"/>
  <c r="I142" i="28"/>
  <c r="N472" i="1"/>
  <c r="Y158" i="34" s="1"/>
  <c r="X158" i="34" s="1"/>
  <c r="I120" i="30"/>
  <c r="C9" i="30"/>
  <c r="I125" i="15"/>
  <c r="C131" i="15"/>
  <c r="C98" i="15"/>
  <c r="I147" i="15"/>
  <c r="I118" i="15"/>
  <c r="I89" i="15"/>
  <c r="I46" i="15"/>
  <c r="C96" i="15"/>
  <c r="I40" i="15"/>
  <c r="I108" i="15"/>
  <c r="C56" i="15"/>
  <c r="K62" i="36"/>
  <c r="J110" i="36"/>
  <c r="K85" i="36"/>
  <c r="K113" i="36"/>
  <c r="J123" i="36"/>
  <c r="K137" i="36"/>
  <c r="K192" i="36"/>
  <c r="K160" i="36"/>
  <c r="J251" i="36"/>
  <c r="I161" i="28"/>
  <c r="I23" i="16"/>
  <c r="C50" i="16"/>
  <c r="I73" i="16"/>
  <c r="C99" i="16"/>
  <c r="I125" i="16"/>
  <c r="I151" i="16"/>
  <c r="I166" i="16"/>
  <c r="I163" i="15"/>
  <c r="C83" i="28"/>
  <c r="I156" i="30"/>
  <c r="I116" i="15"/>
  <c r="C62" i="15"/>
  <c r="I61" i="15"/>
  <c r="I5" i="16"/>
  <c r="C12" i="16"/>
  <c r="I18" i="16"/>
  <c r="I29" i="16"/>
  <c r="I39" i="16"/>
  <c r="I45" i="16"/>
  <c r="I55" i="16"/>
  <c r="I61" i="16"/>
  <c r="C69" i="16"/>
  <c r="C77" i="16"/>
  <c r="I83" i="16"/>
  <c r="C96" i="16"/>
  <c r="C101" i="16"/>
  <c r="I107" i="16"/>
  <c r="I120" i="16"/>
  <c r="I127" i="16"/>
  <c r="C138" i="16"/>
  <c r="I145" i="16"/>
  <c r="C155" i="16"/>
  <c r="I161" i="16"/>
  <c r="C169" i="16"/>
  <c r="I153" i="15"/>
  <c r="C160" i="15"/>
  <c r="I167" i="15"/>
  <c r="I141" i="28"/>
  <c r="I103" i="28"/>
  <c r="I151" i="28"/>
  <c r="N512" i="1"/>
  <c r="Y172" i="34" s="1"/>
  <c r="X172" i="34" s="1"/>
  <c r="I93" i="30"/>
  <c r="I143" i="30"/>
  <c r="C22" i="30"/>
  <c r="C117" i="15"/>
  <c r="I128" i="15"/>
  <c r="C83" i="15"/>
  <c r="I131" i="15"/>
  <c r="I101" i="15"/>
  <c r="I85" i="15"/>
  <c r="C44" i="15"/>
  <c r="I93" i="15"/>
  <c r="I37" i="15"/>
  <c r="C99" i="15"/>
  <c r="C46" i="15"/>
  <c r="J30" i="36"/>
  <c r="J62" i="36"/>
  <c r="J106" i="36"/>
  <c r="K112" i="36"/>
  <c r="J122" i="36"/>
  <c r="K136" i="36"/>
  <c r="K146" i="36"/>
  <c r="K183" i="36"/>
  <c r="K243" i="36"/>
  <c r="K257" i="36"/>
  <c r="K267" i="36"/>
  <c r="M304" i="36"/>
  <c r="M303" i="36"/>
  <c r="M305" i="36"/>
  <c r="C114" i="28"/>
  <c r="M199" i="36"/>
  <c r="C113" i="28"/>
  <c r="M198" i="36"/>
  <c r="I114" i="28"/>
  <c r="M200" i="36"/>
  <c r="I113" i="28"/>
  <c r="M2" i="36"/>
  <c r="C103" i="28"/>
  <c r="I164" i="28"/>
  <c r="I40" i="28"/>
  <c r="I93" i="28"/>
  <c r="C59" i="28"/>
  <c r="C104" i="28"/>
  <c r="C70" i="28"/>
  <c r="C44" i="28"/>
  <c r="I12" i="28"/>
  <c r="C69" i="28"/>
  <c r="C13" i="28"/>
  <c r="I162" i="28"/>
  <c r="C128" i="28"/>
  <c r="N462" i="1"/>
  <c r="S153" i="33" s="1"/>
  <c r="S152" i="33" s="1"/>
  <c r="I22" i="16"/>
  <c r="I47" i="16"/>
  <c r="I81" i="16"/>
  <c r="C105" i="16"/>
  <c r="I130" i="16"/>
  <c r="I159" i="16"/>
  <c r="I133" i="16"/>
  <c r="N398" i="1"/>
  <c r="E190" i="4" s="1"/>
  <c r="J152" i="36"/>
  <c r="J175" i="36"/>
  <c r="I8" i="16"/>
  <c r="C43" i="16"/>
  <c r="C82" i="16"/>
  <c r="C131" i="16"/>
  <c r="I158" i="15"/>
  <c r="E143" i="4"/>
  <c r="C138" i="30"/>
  <c r="I145" i="15"/>
  <c r="C101" i="15"/>
  <c r="I127" i="15"/>
  <c r="K95" i="36"/>
  <c r="I17" i="16"/>
  <c r="I26" i="16"/>
  <c r="I44" i="16"/>
  <c r="I51" i="16"/>
  <c r="C68" i="16"/>
  <c r="C83" i="16"/>
  <c r="C95" i="16"/>
  <c r="I106" i="16"/>
  <c r="I119" i="16"/>
  <c r="I137" i="16"/>
  <c r="I154" i="16"/>
  <c r="C168" i="16"/>
  <c r="I166" i="15"/>
  <c r="I6" i="16"/>
  <c r="I12" i="16"/>
  <c r="I20" i="16"/>
  <c r="C30" i="16"/>
  <c r="I40" i="16"/>
  <c r="C46" i="16"/>
  <c r="C56" i="16"/>
  <c r="I62" i="16"/>
  <c r="I69" i="16"/>
  <c r="I77" i="16"/>
  <c r="C86" i="16"/>
  <c r="I96" i="16"/>
  <c r="I101" i="16"/>
  <c r="I108" i="16"/>
  <c r="I121" i="16"/>
  <c r="C128" i="16"/>
  <c r="I140" i="16"/>
  <c r="I147" i="16"/>
  <c r="I155" i="16"/>
  <c r="I162" i="16"/>
  <c r="I169" i="16"/>
  <c r="C154" i="15"/>
  <c r="C161" i="15"/>
  <c r="C168" i="15"/>
  <c r="C47" i="28"/>
  <c r="I9" i="28"/>
  <c r="C142" i="28"/>
  <c r="C8" i="28"/>
  <c r="I107" i="28"/>
  <c r="N30" i="1"/>
  <c r="E66" i="4" s="1"/>
  <c r="I129" i="30"/>
  <c r="C162" i="30"/>
  <c r="C42" i="30"/>
  <c r="C78" i="15"/>
  <c r="I105" i="15"/>
  <c r="C41" i="15"/>
  <c r="C130" i="15"/>
  <c r="C81" i="15"/>
  <c r="I81" i="15"/>
  <c r="I41" i="15"/>
  <c r="I87" i="15"/>
  <c r="I20" i="15"/>
  <c r="C95" i="15"/>
  <c r="C42" i="15"/>
  <c r="K30" i="36"/>
  <c r="J60" i="36"/>
  <c r="J86" i="36"/>
  <c r="K178" i="36"/>
  <c r="K248" i="36"/>
  <c r="L305" i="36"/>
  <c r="L304" i="36"/>
  <c r="L303" i="36"/>
  <c r="I114" i="27"/>
  <c r="L198" i="36"/>
  <c r="C114" i="27"/>
  <c r="C113" i="27"/>
  <c r="L200" i="36"/>
  <c r="L199" i="36"/>
  <c r="I113" i="27"/>
  <c r="L2" i="36"/>
  <c r="N303" i="36"/>
  <c r="N305" i="36"/>
  <c r="N304" i="36"/>
  <c r="I114" i="29"/>
  <c r="C114" i="29"/>
  <c r="I113" i="29"/>
  <c r="N200" i="36"/>
  <c r="N199" i="36"/>
  <c r="C113" i="29"/>
  <c r="N198" i="36"/>
  <c r="N2" i="36"/>
  <c r="I90" i="17"/>
  <c r="I304" i="36"/>
  <c r="I305" i="36"/>
  <c r="I303" i="36"/>
  <c r="I199" i="36"/>
  <c r="I113" i="17"/>
  <c r="C113" i="17"/>
  <c r="I200" i="36"/>
  <c r="I198" i="36"/>
  <c r="C114" i="17"/>
  <c r="I114" i="17"/>
  <c r="F100" i="4"/>
  <c r="F19" i="4"/>
  <c r="F47" i="4"/>
  <c r="F38" i="4"/>
  <c r="F31" i="4"/>
  <c r="F32" i="4" s="1"/>
  <c r="F16" i="4"/>
  <c r="F209" i="4"/>
  <c r="F191" i="4"/>
  <c r="F175" i="4"/>
  <c r="F170" i="4"/>
  <c r="F161" i="4"/>
  <c r="F143" i="4"/>
  <c r="F128" i="4"/>
  <c r="F116" i="4"/>
  <c r="F96" i="4"/>
  <c r="F84" i="4"/>
  <c r="F67" i="4"/>
  <c r="F35" i="4"/>
  <c r="F207" i="4"/>
  <c r="F189" i="4"/>
  <c r="F168" i="4"/>
  <c r="F121" i="4"/>
  <c r="F78" i="4"/>
  <c r="F79" i="4" s="1"/>
  <c r="F118" i="4"/>
  <c r="F51" i="4"/>
  <c r="F17" i="4"/>
  <c r="F210" i="4"/>
  <c r="F176" i="4"/>
  <c r="F130" i="4"/>
  <c r="F99" i="4"/>
  <c r="F46" i="4"/>
  <c r="F36" i="4"/>
  <c r="F15" i="4"/>
  <c r="F208" i="4"/>
  <c r="F190" i="4"/>
  <c r="F174" i="4"/>
  <c r="F169" i="4"/>
  <c r="F160" i="4"/>
  <c r="F142" i="4"/>
  <c r="F126" i="4"/>
  <c r="F127" i="4" s="1"/>
  <c r="F114" i="4"/>
  <c r="F115" i="4" s="1"/>
  <c r="F92" i="4"/>
  <c r="F125" i="4"/>
  <c r="F112" i="4"/>
  <c r="F42" i="4"/>
  <c r="F196" i="4"/>
  <c r="F166" i="4"/>
  <c r="F135" i="4"/>
  <c r="F133" i="4" s="1"/>
  <c r="F106" i="4"/>
  <c r="F109" i="4" s="1"/>
  <c r="F89" i="4"/>
  <c r="F59" i="4"/>
  <c r="F212" i="4"/>
  <c r="F179" i="4"/>
  <c r="F165" i="4"/>
  <c r="F132" i="4"/>
  <c r="F105" i="4"/>
  <c r="F108" i="4" s="1"/>
  <c r="F77" i="4"/>
  <c r="F218" i="4"/>
  <c r="F40" i="4"/>
  <c r="F146" i="4"/>
  <c r="F147" i="4" s="1"/>
  <c r="F76" i="4"/>
  <c r="F145" i="4"/>
  <c r="F86" i="4"/>
  <c r="F52" i="4"/>
  <c r="F45" i="4"/>
  <c r="F13" i="4"/>
  <c r="F173" i="4"/>
  <c r="F185" i="4"/>
  <c r="F91" i="4"/>
  <c r="F66" i="4"/>
  <c r="F214" i="4"/>
  <c r="F41" i="4"/>
  <c r="F18" i="4"/>
  <c r="F211" i="4"/>
  <c r="F177" i="4"/>
  <c r="F164" i="4"/>
  <c r="F104" i="4"/>
  <c r="F107" i="4" s="1"/>
  <c r="F43" i="4"/>
  <c r="F34" i="4"/>
  <c r="F10" i="4"/>
  <c r="F199" i="4"/>
  <c r="F188" i="4"/>
  <c r="F172" i="4"/>
  <c r="F167" i="4"/>
  <c r="F137" i="4"/>
  <c r="F141" i="4" s="1"/>
  <c r="F122" i="4"/>
  <c r="F111" i="4"/>
  <c r="F90" i="4"/>
  <c r="F80" i="4"/>
  <c r="F72" i="4"/>
  <c r="F64" i="4"/>
  <c r="F138" i="4"/>
  <c r="F186" i="4"/>
  <c r="F71" i="4"/>
  <c r="F194" i="4"/>
  <c r="F148" i="4"/>
  <c r="F120" i="4"/>
  <c r="F88" i="4"/>
  <c r="F70" i="4"/>
  <c r="F58" i="4"/>
  <c r="F193" i="4"/>
  <c r="F171" i="4"/>
  <c r="F131" i="4"/>
  <c r="F87" i="4"/>
  <c r="F48" i="4"/>
  <c r="F39" i="4"/>
  <c r="F192" i="4"/>
  <c r="F163" i="4"/>
  <c r="F117" i="4"/>
  <c r="C22" i="17"/>
  <c r="C21" i="17"/>
  <c r="I22" i="17"/>
  <c r="H90" i="1"/>
  <c r="Y95" i="34"/>
  <c r="X95" i="34" s="1"/>
  <c r="Y92" i="34"/>
  <c r="V92" i="34" s="1"/>
  <c r="E147" i="36"/>
  <c r="E148" i="36"/>
  <c r="E257" i="36"/>
  <c r="E256" i="36"/>
  <c r="E255" i="36"/>
  <c r="E266" i="36"/>
  <c r="E265" i="36"/>
  <c r="E264" i="36"/>
  <c r="E192" i="36"/>
  <c r="E193" i="36"/>
  <c r="E262" i="36"/>
  <c r="E261" i="36"/>
  <c r="E263" i="36"/>
  <c r="E274" i="36"/>
  <c r="E273" i="36"/>
  <c r="E275" i="36"/>
  <c r="E286" i="36"/>
  <c r="E285" i="36"/>
  <c r="E287" i="36"/>
  <c r="E278" i="36"/>
  <c r="E277" i="36"/>
  <c r="E276" i="36"/>
  <c r="E97" i="36"/>
  <c r="E258" i="36"/>
  <c r="E260" i="36"/>
  <c r="E259" i="36"/>
  <c r="E270" i="36"/>
  <c r="E272" i="36"/>
  <c r="E271" i="36"/>
  <c r="E282" i="36"/>
  <c r="E284" i="36"/>
  <c r="E283" i="36"/>
  <c r="E254" i="36"/>
  <c r="E253" i="36"/>
  <c r="E252" i="36"/>
  <c r="E269" i="36"/>
  <c r="E268" i="36"/>
  <c r="E267" i="36"/>
  <c r="E281" i="36"/>
  <c r="E280" i="36"/>
  <c r="E279" i="36"/>
  <c r="E293" i="36"/>
  <c r="E292" i="36"/>
  <c r="E291" i="36"/>
  <c r="E302" i="36"/>
  <c r="E300" i="36"/>
  <c r="E3" i="36"/>
  <c r="E5" i="36"/>
  <c r="U87" i="34"/>
  <c r="E50" i="36"/>
  <c r="E181" i="36"/>
  <c r="E250" i="36"/>
  <c r="E182" i="36"/>
  <c r="E208" i="36"/>
  <c r="E92" i="36"/>
  <c r="E185" i="36"/>
  <c r="E71" i="36"/>
  <c r="M87" i="36"/>
  <c r="M62" i="36"/>
  <c r="M166" i="36"/>
  <c r="M112" i="36"/>
  <c r="M103" i="36"/>
  <c r="M49" i="36"/>
  <c r="M7" i="36"/>
  <c r="M17" i="36"/>
  <c r="M11" i="36"/>
  <c r="I133" i="28"/>
  <c r="C161" i="28"/>
  <c r="I150" i="28"/>
  <c r="I128" i="28"/>
  <c r="I119" i="28"/>
  <c r="I105" i="28"/>
  <c r="I97" i="28"/>
  <c r="C87" i="28"/>
  <c r="I72" i="28"/>
  <c r="I63" i="28"/>
  <c r="I47" i="28"/>
  <c r="I39" i="28"/>
  <c r="I22" i="28"/>
  <c r="I13" i="28"/>
  <c r="C169" i="28"/>
  <c r="I160" i="28"/>
  <c r="C148" i="28"/>
  <c r="C138" i="28"/>
  <c r="I125" i="28"/>
  <c r="I116" i="28"/>
  <c r="I102" i="28"/>
  <c r="I94" i="28"/>
  <c r="C74" i="28"/>
  <c r="I64" i="28"/>
  <c r="C56" i="28"/>
  <c r="C42" i="28"/>
  <c r="C31" i="28"/>
  <c r="C22" i="28"/>
  <c r="C9" i="28"/>
  <c r="I144" i="28"/>
  <c r="C119" i="28"/>
  <c r="I95" i="28"/>
  <c r="I65" i="28"/>
  <c r="C50" i="28"/>
  <c r="I24" i="28"/>
  <c r="C6" i="28"/>
  <c r="I117" i="28"/>
  <c r="C81" i="28"/>
  <c r="I11" i="28"/>
  <c r="I138" i="28"/>
  <c r="I31" i="28"/>
  <c r="C94" i="28"/>
  <c r="I132" i="28"/>
  <c r="I55" i="28"/>
  <c r="I87" i="28"/>
  <c r="I130" i="28"/>
  <c r="I168" i="28"/>
  <c r="C17" i="28"/>
  <c r="I49" i="28"/>
  <c r="C73" i="28"/>
  <c r="C98" i="28"/>
  <c r="C122" i="28"/>
  <c r="I148" i="28"/>
  <c r="C167" i="28"/>
  <c r="I15" i="28"/>
  <c r="C51" i="28"/>
  <c r="I85" i="28"/>
  <c r="I158" i="28"/>
  <c r="C86" i="28"/>
  <c r="I140" i="28"/>
  <c r="I21" i="28"/>
  <c r="C57" i="28"/>
  <c r="C78" i="28"/>
  <c r="C156" i="28"/>
  <c r="I17" i="28"/>
  <c r="I29" i="28"/>
  <c r="I44" i="28"/>
  <c r="C60" i="28"/>
  <c r="I73" i="28"/>
  <c r="C96" i="28"/>
  <c r="I106" i="28"/>
  <c r="I122" i="28"/>
  <c r="C141" i="28"/>
  <c r="I153" i="28"/>
  <c r="I167" i="28"/>
  <c r="I16" i="28"/>
  <c r="C45" i="28"/>
  <c r="C65" i="28"/>
  <c r="I81" i="28"/>
  <c r="C95" i="28"/>
  <c r="C108" i="28"/>
  <c r="C123" i="28"/>
  <c r="C144" i="28"/>
  <c r="I163" i="28"/>
  <c r="N418" i="1"/>
  <c r="E191" i="4" s="1"/>
  <c r="N149" i="1"/>
  <c r="E91" i="4" s="1"/>
  <c r="N351" i="1"/>
  <c r="E169" i="4" s="1"/>
  <c r="N124" i="1"/>
  <c r="E86" i="4" s="1"/>
  <c r="N542" i="1"/>
  <c r="S179" i="33" s="1"/>
  <c r="P179" i="33" s="1"/>
  <c r="N527" i="1"/>
  <c r="S176" i="33" s="1"/>
  <c r="P176" i="33" s="1"/>
  <c r="N227" i="1"/>
  <c r="E121" i="4" s="1"/>
  <c r="N10" i="1"/>
  <c r="E58" i="4" s="1"/>
  <c r="N172" i="1"/>
  <c r="S60" i="33" s="1"/>
  <c r="R60" i="33" s="1"/>
  <c r="N321" i="1"/>
  <c r="Y102" i="34" s="1"/>
  <c r="N429" i="1"/>
  <c r="Y141" i="34" s="1"/>
  <c r="V141" i="34" s="1"/>
  <c r="N532" i="1"/>
  <c r="E41" i="4" s="1"/>
  <c r="N424" i="1"/>
  <c r="S139" i="33" s="1"/>
  <c r="P139" i="33" s="1"/>
  <c r="N15" i="1"/>
  <c r="E59" i="4" s="1"/>
  <c r="N139" i="1"/>
  <c r="S41" i="33" s="1"/>
  <c r="R41" i="33" s="1"/>
  <c r="N234" i="1"/>
  <c r="S75" i="33" s="1"/>
  <c r="R75" i="33" s="1"/>
  <c r="N260" i="1"/>
  <c r="S85" i="33" s="1"/>
  <c r="P85" i="33" s="1"/>
  <c r="N366" i="1"/>
  <c r="N517" i="1"/>
  <c r="S174" i="33" s="1"/>
  <c r="P174" i="33" s="1"/>
  <c r="N176" i="36"/>
  <c r="N122" i="36"/>
  <c r="N123" i="36"/>
  <c r="N46" i="36"/>
  <c r="N32" i="36"/>
  <c r="N3" i="36"/>
  <c r="N129" i="36"/>
  <c r="N69" i="36"/>
  <c r="N24" i="36"/>
  <c r="I133" i="29"/>
  <c r="C161" i="29"/>
  <c r="I150" i="29"/>
  <c r="I128" i="29"/>
  <c r="I119" i="29"/>
  <c r="C106" i="29"/>
  <c r="C98" i="29"/>
  <c r="I85" i="29"/>
  <c r="I77" i="29"/>
  <c r="I164" i="29"/>
  <c r="I153" i="29"/>
  <c r="I143" i="29"/>
  <c r="I129" i="29"/>
  <c r="I120" i="29"/>
  <c r="I107" i="29"/>
  <c r="C99" i="29"/>
  <c r="I78" i="29"/>
  <c r="C160" i="29"/>
  <c r="I131" i="29"/>
  <c r="I103" i="29"/>
  <c r="C78" i="29"/>
  <c r="I64" i="29"/>
  <c r="C56" i="29"/>
  <c r="C42" i="29"/>
  <c r="C31" i="29"/>
  <c r="C22" i="29"/>
  <c r="C9" i="29"/>
  <c r="I161" i="29"/>
  <c r="I140" i="29"/>
  <c r="I117" i="29"/>
  <c r="I94" i="29"/>
  <c r="I68" i="29"/>
  <c r="I59" i="29"/>
  <c r="C47" i="29"/>
  <c r="I35" i="29"/>
  <c r="I21" i="29"/>
  <c r="I11" i="29"/>
  <c r="C105" i="29"/>
  <c r="C73" i="29"/>
  <c r="I49" i="29"/>
  <c r="C17" i="29"/>
  <c r="C64" i="29"/>
  <c r="C37" i="29"/>
  <c r="C96" i="29"/>
  <c r="I50" i="29"/>
  <c r="C74" i="29"/>
  <c r="I47" i="29"/>
  <c r="C24" i="29"/>
  <c r="B1" i="29"/>
  <c r="C151" i="29"/>
  <c r="C120" i="29"/>
  <c r="I46" i="29"/>
  <c r="I9" i="29"/>
  <c r="I126" i="29"/>
  <c r="I22" i="29"/>
  <c r="N4" i="36"/>
  <c r="N9" i="36"/>
  <c r="I159" i="29"/>
  <c r="I142" i="29"/>
  <c r="I121" i="29"/>
  <c r="I104" i="29"/>
  <c r="C94" i="29"/>
  <c r="I80" i="29"/>
  <c r="C162" i="29"/>
  <c r="C148" i="29"/>
  <c r="C131" i="29"/>
  <c r="C118" i="29"/>
  <c r="C103" i="29"/>
  <c r="I93" i="29"/>
  <c r="I169" i="29"/>
  <c r="I148" i="29"/>
  <c r="I118" i="29"/>
  <c r="I73" i="29"/>
  <c r="C60" i="29"/>
  <c r="I44" i="29"/>
  <c r="I29" i="29"/>
  <c r="I17" i="29"/>
  <c r="I168" i="29"/>
  <c r="I130" i="29"/>
  <c r="I102" i="29"/>
  <c r="C70" i="29"/>
  <c r="C57" i="29"/>
  <c r="C43" i="29"/>
  <c r="I24" i="29"/>
  <c r="I8" i="29"/>
  <c r="I87" i="29"/>
  <c r="I56" i="29"/>
  <c r="I12" i="29"/>
  <c r="C51" i="29"/>
  <c r="C119" i="29"/>
  <c r="I43" i="29"/>
  <c r="I98" i="29"/>
  <c r="C59" i="29"/>
  <c r="C21" i="29"/>
  <c r="C164" i="29"/>
  <c r="I127" i="29"/>
  <c r="I31" i="29"/>
  <c r="C156" i="29"/>
  <c r="C41" i="29"/>
  <c r="M3" i="36"/>
  <c r="C120" i="28"/>
  <c r="I46" i="28"/>
  <c r="I104" i="28"/>
  <c r="I61" i="28"/>
  <c r="C97" i="28"/>
  <c r="I154" i="28"/>
  <c r="C133" i="28"/>
  <c r="I36" i="28"/>
  <c r="I56" i="28"/>
  <c r="I77" i="28"/>
  <c r="I100" i="28"/>
  <c r="C129" i="28"/>
  <c r="I155" i="28"/>
  <c r="I169" i="28"/>
  <c r="C23" i="28"/>
  <c r="C58" i="28"/>
  <c r="I89" i="28"/>
  <c r="I127" i="28"/>
  <c r="C16" i="28"/>
  <c r="I99" i="28"/>
  <c r="I147" i="28"/>
  <c r="I30" i="28"/>
  <c r="I59" i="28"/>
  <c r="I126" i="28"/>
  <c r="C163" i="28"/>
  <c r="I20" i="28"/>
  <c r="C36" i="28"/>
  <c r="C46" i="28"/>
  <c r="C62" i="28"/>
  <c r="C77" i="28"/>
  <c r="I98" i="28"/>
  <c r="I112" i="28"/>
  <c r="C127" i="28"/>
  <c r="I143" i="28"/>
  <c r="C155" i="28"/>
  <c r="B1" i="28"/>
  <c r="C18" i="28"/>
  <c r="C30" i="28"/>
  <c r="I50" i="28"/>
  <c r="C68" i="28"/>
  <c r="I86" i="28"/>
  <c r="C99" i="28"/>
  <c r="C126" i="28"/>
  <c r="C154" i="28"/>
  <c r="I166" i="28"/>
  <c r="N502" i="1"/>
  <c r="Y170" i="34" s="1"/>
  <c r="X170" i="34" s="1"/>
  <c r="N439" i="1"/>
  <c r="S142" i="33" s="1"/>
  <c r="P142" i="33" s="1"/>
  <c r="N250" i="1"/>
  <c r="E148" i="4" s="1"/>
  <c r="N91" i="1"/>
  <c r="S31" i="33" s="1"/>
  <c r="P31" i="33" s="1"/>
  <c r="N336" i="1"/>
  <c r="S105" i="33" s="1"/>
  <c r="P105" i="33" s="1"/>
  <c r="N25" i="1"/>
  <c r="S11" i="33" s="1"/>
  <c r="R11" i="33" s="1"/>
  <c r="N255" i="1"/>
  <c r="N51" i="1"/>
  <c r="E80" i="4" s="1"/>
  <c r="N212" i="1"/>
  <c r="Y67" i="34" s="1"/>
  <c r="X67" i="34" s="1"/>
  <c r="N341" i="1"/>
  <c r="Y106" i="34" s="1"/>
  <c r="V106" i="34" s="1"/>
  <c r="N449" i="1"/>
  <c r="S144" i="33" s="1"/>
  <c r="R144" i="33" s="1"/>
  <c r="N4" i="1"/>
  <c r="E214" i="4" s="1"/>
  <c r="N492" i="1"/>
  <c r="Y164" i="34" s="1"/>
  <c r="X164" i="34" s="1"/>
  <c r="N58" i="1"/>
  <c r="S51" i="33" s="1"/>
  <c r="P51" i="33" s="1"/>
  <c r="N270" i="1"/>
  <c r="E185" i="4" s="1"/>
  <c r="N413" i="1"/>
  <c r="S135" i="33" s="1"/>
  <c r="P135" i="33" s="1"/>
  <c r="N537" i="1"/>
  <c r="S178" i="33" s="1"/>
  <c r="R178" i="33" s="1"/>
  <c r="C18" i="27"/>
  <c r="I43" i="27"/>
  <c r="I70" i="27"/>
  <c r="I117" i="27"/>
  <c r="I15" i="27"/>
  <c r="I46" i="27"/>
  <c r="C73" i="27"/>
  <c r="I112" i="27"/>
  <c r="C162" i="27"/>
  <c r="C16" i="27"/>
  <c r="I35" i="27"/>
  <c r="C50" i="27"/>
  <c r="C63" i="27"/>
  <c r="C81" i="27"/>
  <c r="C104" i="27"/>
  <c r="I137" i="27"/>
  <c r="C8" i="27"/>
  <c r="C59" i="27"/>
  <c r="I99" i="27"/>
  <c r="I154" i="27"/>
  <c r="I12" i="27"/>
  <c r="I49" i="27"/>
  <c r="I83" i="27"/>
  <c r="C118" i="27"/>
  <c r="I164" i="27"/>
  <c r="I20" i="27"/>
  <c r="C31" i="27"/>
  <c r="I44" i="27"/>
  <c r="C62" i="27"/>
  <c r="C74" i="27"/>
  <c r="I107" i="27"/>
  <c r="C145" i="27"/>
  <c r="I96" i="27"/>
  <c r="C117" i="27"/>
  <c r="I142" i="27"/>
  <c r="I163" i="27"/>
  <c r="I127" i="27"/>
  <c r="I145" i="27"/>
  <c r="C164" i="27"/>
  <c r="C68" i="29"/>
  <c r="I15" i="29"/>
  <c r="C86" i="29"/>
  <c r="I132" i="29"/>
  <c r="I39" i="29"/>
  <c r="I82" i="29"/>
  <c r="I57" i="29"/>
  <c r="C163" i="29"/>
  <c r="I5" i="29"/>
  <c r="I62" i="29"/>
  <c r="C143" i="29"/>
  <c r="I18" i="29"/>
  <c r="I45" i="29"/>
  <c r="C63" i="29"/>
  <c r="C100" i="29"/>
  <c r="I147" i="29"/>
  <c r="I7" i="29"/>
  <c r="I26" i="29"/>
  <c r="C46" i="29"/>
  <c r="I67" i="29"/>
  <c r="C101" i="29"/>
  <c r="I155" i="29"/>
  <c r="I86" i="29"/>
  <c r="I101" i="29"/>
  <c r="I122" i="29"/>
  <c r="C141" i="29"/>
  <c r="I160" i="29"/>
  <c r="C82" i="29"/>
  <c r="I100" i="29"/>
  <c r="C117" i="29"/>
  <c r="C144" i="29"/>
  <c r="I166" i="29"/>
  <c r="C64" i="28"/>
  <c r="C143" i="28"/>
  <c r="I41" i="28"/>
  <c r="I68" i="28"/>
  <c r="I108" i="28"/>
  <c r="C159" i="28"/>
  <c r="I5" i="28"/>
  <c r="C40" i="28"/>
  <c r="I62" i="28"/>
  <c r="C82" i="28"/>
  <c r="C106" i="28"/>
  <c r="I131" i="28"/>
  <c r="C160" i="28"/>
  <c r="C7" i="28"/>
  <c r="C37" i="28"/>
  <c r="I60" i="28"/>
  <c r="I96" i="28"/>
  <c r="I145" i="28"/>
  <c r="I18" i="28"/>
  <c r="C105" i="28"/>
  <c r="I8" i="28"/>
  <c r="C43" i="28"/>
  <c r="C63" i="28"/>
  <c r="C101" i="28"/>
  <c r="I137" i="28"/>
  <c r="I7" i="28"/>
  <c r="I23" i="28"/>
  <c r="I37" i="28"/>
  <c r="I51" i="28"/>
  <c r="I67" i="28"/>
  <c r="I82" i="28"/>
  <c r="C100" i="28"/>
  <c r="C118" i="28"/>
  <c r="I129" i="28"/>
  <c r="C145" i="28"/>
  <c r="C162" i="28"/>
  <c r="I6" i="28"/>
  <c r="C21" i="28"/>
  <c r="C41" i="28"/>
  <c r="I57" i="28"/>
  <c r="I70" i="28"/>
  <c r="I101" i="28"/>
  <c r="C117" i="28"/>
  <c r="C130" i="28"/>
  <c r="I156" i="28"/>
  <c r="C168" i="28"/>
  <c r="N222" i="1"/>
  <c r="E120" i="4" s="1"/>
  <c r="N20" i="1"/>
  <c r="Y8" i="34" s="1"/>
  <c r="N371" i="1"/>
  <c r="E173" i="4" s="1"/>
  <c r="N289" i="1"/>
  <c r="N311" i="1"/>
  <c r="Y100" i="34" s="1"/>
  <c r="V100" i="34" s="1"/>
  <c r="N154" i="1"/>
  <c r="S56" i="33" s="1"/>
  <c r="P56" i="33" s="1"/>
  <c r="P55" i="33" s="1"/>
  <c r="N444" i="1"/>
  <c r="E211" i="4" s="1"/>
  <c r="N45" i="1"/>
  <c r="E72" i="4" s="1"/>
  <c r="N294" i="1"/>
  <c r="N134" i="1"/>
  <c r="E90" i="4" s="1"/>
  <c r="N239" i="1"/>
  <c r="N361" i="1"/>
  <c r="S110" i="33" s="1"/>
  <c r="R110" i="33" s="1"/>
  <c r="N497" i="1"/>
  <c r="S166" i="33" s="1"/>
  <c r="S165" i="33" s="1"/>
  <c r="N68" i="1"/>
  <c r="E125" i="4" s="1"/>
  <c r="N265" i="1"/>
  <c r="S88" i="33" s="1"/>
  <c r="N548" i="1"/>
  <c r="E45" i="4" s="1"/>
  <c r="N84" i="1"/>
  <c r="S27" i="33" s="1"/>
  <c r="P27" i="33" s="1"/>
  <c r="N177" i="1"/>
  <c r="S61" i="33" s="1"/>
  <c r="R61" i="33" s="1"/>
  <c r="N326" i="1"/>
  <c r="E177" i="4" s="1"/>
  <c r="N434" i="1"/>
  <c r="E209" i="4" s="1"/>
  <c r="N558" i="1"/>
  <c r="S184" i="33" s="1"/>
  <c r="P184" i="33" s="1"/>
  <c r="L152" i="36"/>
  <c r="L188" i="36"/>
  <c r="L117" i="36"/>
  <c r="L93" i="36"/>
  <c r="L83" i="36"/>
  <c r="L71" i="36"/>
  <c r="L109" i="36"/>
  <c r="L7" i="36"/>
  <c r="L32" i="36"/>
  <c r="L11" i="36"/>
  <c r="I169" i="27"/>
  <c r="C160" i="27"/>
  <c r="I148" i="27"/>
  <c r="I138" i="27"/>
  <c r="C122" i="27"/>
  <c r="I133" i="27"/>
  <c r="C161" i="27"/>
  <c r="I150" i="27"/>
  <c r="I128" i="27"/>
  <c r="I119" i="27"/>
  <c r="C106" i="27"/>
  <c r="C98" i="27"/>
  <c r="I167" i="27"/>
  <c r="C138" i="27"/>
  <c r="L55" i="36"/>
  <c r="L24" i="36"/>
  <c r="L3" i="36"/>
  <c r="C167" i="27"/>
  <c r="I155" i="27"/>
  <c r="I141" i="27"/>
  <c r="C120" i="27"/>
  <c r="I166" i="27"/>
  <c r="C154" i="27"/>
  <c r="C126" i="27"/>
  <c r="I100" i="27"/>
  <c r="I160" i="27"/>
  <c r="C127" i="27"/>
  <c r="I102" i="27"/>
  <c r="I93" i="27"/>
  <c r="I82" i="27"/>
  <c r="C69" i="27"/>
  <c r="C60" i="27"/>
  <c r="C46" i="27"/>
  <c r="I37" i="27"/>
  <c r="I26" i="27"/>
  <c r="I17" i="27"/>
  <c r="C169" i="27"/>
  <c r="C131" i="27"/>
  <c r="I101" i="27"/>
  <c r="C82" i="27"/>
  <c r="I56" i="27"/>
  <c r="C23" i="27"/>
  <c r="C133" i="27"/>
  <c r="I147" i="27"/>
  <c r="C103" i="27"/>
  <c r="I72" i="27"/>
  <c r="C45" i="27"/>
  <c r="B1" i="27"/>
  <c r="C142" i="27"/>
  <c r="C97" i="27"/>
  <c r="C78" i="27"/>
  <c r="I65" i="27"/>
  <c r="C57" i="27"/>
  <c r="I45" i="27"/>
  <c r="I30" i="27"/>
  <c r="I18" i="27"/>
  <c r="I8" i="27"/>
  <c r="I143" i="27"/>
  <c r="I103" i="27"/>
  <c r="I74" i="27"/>
  <c r="C58" i="27"/>
  <c r="C40" i="27"/>
  <c r="I9" i="27"/>
  <c r="I123" i="27"/>
  <c r="I87" i="27"/>
  <c r="I63" i="27"/>
  <c r="C41" i="27"/>
  <c r="C21" i="27"/>
  <c r="I6" i="27"/>
  <c r="N482" i="1"/>
  <c r="S159" i="33" s="1"/>
  <c r="R159" i="33" s="1"/>
  <c r="N393" i="1"/>
  <c r="E189" i="4" s="1"/>
  <c r="N306" i="1"/>
  <c r="S99" i="33" s="1"/>
  <c r="N197" i="1"/>
  <c r="Y64" i="34" s="1"/>
  <c r="X64" i="34" s="1"/>
  <c r="N144" i="1"/>
  <c r="S121" i="33" s="1"/>
  <c r="R121" i="33" s="1"/>
  <c r="N35" i="1"/>
  <c r="E70" i="4" s="1"/>
  <c r="N507" i="1"/>
  <c r="E35" i="4" s="1"/>
  <c r="N316" i="1"/>
  <c r="E163" i="4" s="1"/>
  <c r="N187" i="1"/>
  <c r="S62" i="33" s="1"/>
  <c r="P62" i="33" s="1"/>
  <c r="N553" i="1"/>
  <c r="E47" i="4" s="1"/>
  <c r="N477" i="1"/>
  <c r="S158" i="33" s="1"/>
  <c r="R158" i="33" s="1"/>
  <c r="N388" i="1"/>
  <c r="S130" i="33" s="1"/>
  <c r="P130" i="33" s="1"/>
  <c r="N300" i="1"/>
  <c r="Y98" i="34" s="1"/>
  <c r="X98" i="34" s="1"/>
  <c r="N192" i="1"/>
  <c r="S63" i="33" s="1"/>
  <c r="P63" i="33" s="1"/>
  <c r="N73" i="1"/>
  <c r="E77" i="4" s="1"/>
  <c r="N356" i="1"/>
  <c r="S109" i="33" s="1"/>
  <c r="R109" i="33" s="1"/>
  <c r="N167" i="1"/>
  <c r="N455" i="1"/>
  <c r="S147" i="33" s="1"/>
  <c r="R147" i="33" s="1"/>
  <c r="R146" i="33" s="1"/>
  <c r="N403" i="1"/>
  <c r="S133" i="33" s="1"/>
  <c r="P133" i="33" s="1"/>
  <c r="N207" i="1"/>
  <c r="S66" i="33" s="1"/>
  <c r="R66" i="33" s="1"/>
  <c r="N487" i="1"/>
  <c r="E18" i="4" s="1"/>
  <c r="N202" i="1"/>
  <c r="Y65" i="34" s="1"/>
  <c r="V65" i="34" s="1"/>
  <c r="N182" i="1"/>
  <c r="Y124" i="34" s="1"/>
  <c r="Y123" i="34" s="1"/>
  <c r="N78" i="1"/>
  <c r="N522" i="1"/>
  <c r="Y176" i="34" s="1"/>
  <c r="V176" i="34" s="1"/>
  <c r="N563" i="1"/>
  <c r="Y186" i="34" s="1"/>
  <c r="X186" i="34" s="1"/>
  <c r="N63" i="1"/>
  <c r="N97" i="36"/>
  <c r="C90" i="16"/>
  <c r="J238" i="36"/>
  <c r="J294" i="36"/>
  <c r="J298" i="36"/>
  <c r="J302" i="36"/>
  <c r="J291" i="36"/>
  <c r="J276" i="36"/>
  <c r="J280" i="36"/>
  <c r="J284" i="36"/>
  <c r="J288" i="36"/>
  <c r="J265" i="36"/>
  <c r="J269" i="36"/>
  <c r="J263" i="36"/>
  <c r="J261" i="36"/>
  <c r="J244" i="36"/>
  <c r="J248" i="36"/>
  <c r="J252" i="36"/>
  <c r="J256" i="36"/>
  <c r="J243" i="36"/>
  <c r="J223" i="36"/>
  <c r="J227" i="36"/>
  <c r="J231" i="36"/>
  <c r="J235" i="36"/>
  <c r="J203" i="36"/>
  <c r="J207" i="36"/>
  <c r="J211" i="36"/>
  <c r="J215" i="36"/>
  <c r="J156" i="36"/>
  <c r="J160" i="36"/>
  <c r="J164" i="36"/>
  <c r="J168" i="36"/>
  <c r="J172" i="36"/>
  <c r="J176" i="36"/>
  <c r="J180" i="36"/>
  <c r="J184" i="36"/>
  <c r="J188" i="36"/>
  <c r="J192" i="36"/>
  <c r="J149" i="36"/>
  <c r="J142" i="36"/>
  <c r="J146" i="36"/>
  <c r="J133" i="36"/>
  <c r="J137" i="36"/>
  <c r="J138" i="36"/>
  <c r="J132" i="36"/>
  <c r="J130" i="36"/>
  <c r="J124" i="36"/>
  <c r="J114" i="36"/>
  <c r="J118" i="36"/>
  <c r="J111" i="36"/>
  <c r="J87" i="36"/>
  <c r="J91" i="36"/>
  <c r="J95" i="36"/>
  <c r="J99" i="36"/>
  <c r="J103" i="36"/>
  <c r="J107" i="36"/>
  <c r="J81" i="36"/>
  <c r="J78" i="36"/>
  <c r="J57" i="36"/>
  <c r="J61" i="36"/>
  <c r="J65" i="36"/>
  <c r="J69" i="36"/>
  <c r="J73" i="36"/>
  <c r="J77" i="36"/>
  <c r="J54" i="36"/>
  <c r="J49" i="36"/>
  <c r="J53" i="36"/>
  <c r="J44" i="36"/>
  <c r="I90" i="16"/>
  <c r="J239" i="36"/>
  <c r="J237" i="36"/>
  <c r="J295" i="36"/>
  <c r="J299" i="36"/>
  <c r="J277" i="36"/>
  <c r="J281" i="36"/>
  <c r="J285" i="36"/>
  <c r="J289" i="36"/>
  <c r="J266" i="36"/>
  <c r="J270" i="36"/>
  <c r="J259" i="36"/>
  <c r="J245" i="36"/>
  <c r="J249" i="36"/>
  <c r="J253" i="36"/>
  <c r="J257" i="36"/>
  <c r="J241" i="36"/>
  <c r="J240" i="36"/>
  <c r="J220" i="36"/>
  <c r="J224" i="36"/>
  <c r="J228" i="36"/>
  <c r="J232" i="36"/>
  <c r="J236" i="36"/>
  <c r="J204" i="36"/>
  <c r="J208" i="36"/>
  <c r="J212" i="36"/>
  <c r="J216" i="36"/>
  <c r="J201" i="36"/>
  <c r="J153" i="36"/>
  <c r="J157" i="36"/>
  <c r="J161" i="36"/>
  <c r="J165" i="36"/>
  <c r="J169" i="36"/>
  <c r="J173" i="36"/>
  <c r="J177" i="36"/>
  <c r="J181" i="36"/>
  <c r="J185" i="36"/>
  <c r="J189" i="36"/>
  <c r="J193" i="36"/>
  <c r="J150" i="36"/>
  <c r="J147" i="36"/>
  <c r="J143" i="36"/>
  <c r="J134" i="36"/>
  <c r="J139" i="36"/>
  <c r="J127" i="36"/>
  <c r="J131" i="36"/>
  <c r="J125" i="36"/>
  <c r="J115" i="36"/>
  <c r="J119" i="36"/>
  <c r="J88" i="36"/>
  <c r="J92" i="36"/>
  <c r="J96" i="36"/>
  <c r="J100" i="36"/>
  <c r="J104" i="36"/>
  <c r="J108" i="36"/>
  <c r="J82" i="36"/>
  <c r="J292" i="36"/>
  <c r="J296" i="36"/>
  <c r="J300" i="36"/>
  <c r="J274" i="36"/>
  <c r="J278" i="36"/>
  <c r="J282" i="36"/>
  <c r="J286" i="36"/>
  <c r="J290" i="36"/>
  <c r="J267" i="36"/>
  <c r="J271" i="36"/>
  <c r="J260" i="36"/>
  <c r="J246" i="36"/>
  <c r="J250" i="36"/>
  <c r="J254" i="36"/>
  <c r="J242" i="36"/>
  <c r="J221" i="36"/>
  <c r="J225" i="36"/>
  <c r="J229" i="36"/>
  <c r="J233" i="36"/>
  <c r="J205" i="36"/>
  <c r="J209" i="36"/>
  <c r="J213" i="36"/>
  <c r="J217" i="36"/>
  <c r="J196" i="36"/>
  <c r="J195" i="36"/>
  <c r="J154" i="36"/>
  <c r="J158" i="36"/>
  <c r="J162" i="36"/>
  <c r="J166" i="36"/>
  <c r="J170" i="36"/>
  <c r="J174" i="36"/>
  <c r="J178" i="36"/>
  <c r="J182" i="36"/>
  <c r="J186" i="36"/>
  <c r="J190" i="36"/>
  <c r="J194" i="36"/>
  <c r="J151" i="36"/>
  <c r="J144" i="36"/>
  <c r="J141" i="36"/>
  <c r="J135" i="36"/>
  <c r="J140" i="36"/>
  <c r="J128" i="36"/>
  <c r="J121" i="36"/>
  <c r="J120" i="36"/>
  <c r="J112" i="36"/>
  <c r="J116" i="36"/>
  <c r="J85" i="36"/>
  <c r="J89" i="36"/>
  <c r="J93" i="36"/>
  <c r="J97" i="36"/>
  <c r="J101" i="36"/>
  <c r="J105" i="36"/>
  <c r="J109" i="36"/>
  <c r="J84" i="36"/>
  <c r="J79" i="36"/>
  <c r="J83" i="36"/>
  <c r="J55" i="36"/>
  <c r="J59" i="36"/>
  <c r="J63" i="36"/>
  <c r="J67" i="36"/>
  <c r="J71" i="36"/>
  <c r="J75" i="36"/>
  <c r="J51" i="36"/>
  <c r="J46" i="36"/>
  <c r="J42" i="36"/>
  <c r="J40" i="36"/>
  <c r="J275" i="36"/>
  <c r="J247" i="36"/>
  <c r="J287" i="36"/>
  <c r="J301" i="36"/>
  <c r="O11" i="36"/>
  <c r="O60" i="36"/>
  <c r="O107" i="36"/>
  <c r="O180" i="36"/>
  <c r="I49" i="30"/>
  <c r="C18" i="30"/>
  <c r="I78" i="30"/>
  <c r="I5" i="30"/>
  <c r="C82" i="30"/>
  <c r="I128" i="30"/>
  <c r="I42" i="30"/>
  <c r="C106" i="30"/>
  <c r="I43" i="30"/>
  <c r="C145" i="30"/>
  <c r="C41" i="30"/>
  <c r="C99" i="30"/>
  <c r="I153" i="30"/>
  <c r="I9" i="30"/>
  <c r="C37" i="30"/>
  <c r="C58" i="30"/>
  <c r="I80" i="30"/>
  <c r="I96" i="30"/>
  <c r="C117" i="30"/>
  <c r="I142" i="30"/>
  <c r="C161" i="30"/>
  <c r="C8" i="30"/>
  <c r="C30" i="30"/>
  <c r="C59" i="30"/>
  <c r="I86" i="30"/>
  <c r="I105" i="30"/>
  <c r="I125" i="30"/>
  <c r="C148" i="30"/>
  <c r="I164" i="30"/>
  <c r="I11" i="30"/>
  <c r="I21" i="30"/>
  <c r="I35" i="30"/>
  <c r="C47" i="30"/>
  <c r="I59" i="30"/>
  <c r="I68" i="30"/>
  <c r="C81" i="30"/>
  <c r="I95" i="30"/>
  <c r="I103" i="30"/>
  <c r="C122" i="30"/>
  <c r="I138" i="30"/>
  <c r="I148" i="30"/>
  <c r="C160" i="30"/>
  <c r="I169" i="30"/>
  <c r="C12" i="30"/>
  <c r="I23" i="30"/>
  <c r="C36" i="30"/>
  <c r="I44" i="30"/>
  <c r="I58" i="30"/>
  <c r="I67" i="30"/>
  <c r="C77" i="30"/>
  <c r="C96" i="30"/>
  <c r="C104" i="30"/>
  <c r="I117" i="30"/>
  <c r="C128" i="30"/>
  <c r="C142" i="30"/>
  <c r="C156" i="30"/>
  <c r="I168" i="30"/>
  <c r="C107" i="27"/>
  <c r="I170" i="27"/>
  <c r="I171" i="27"/>
  <c r="C171" i="27"/>
  <c r="C170" i="27"/>
  <c r="C121" i="27"/>
  <c r="C61" i="27"/>
  <c r="I91" i="27"/>
  <c r="L239" i="36"/>
  <c r="L292" i="36"/>
  <c r="L296" i="36"/>
  <c r="L300" i="36"/>
  <c r="L276" i="36"/>
  <c r="L280" i="36"/>
  <c r="L284" i="36"/>
  <c r="L288" i="36"/>
  <c r="L273" i="36"/>
  <c r="L268" i="36"/>
  <c r="L272" i="36"/>
  <c r="L263" i="36"/>
  <c r="I90" i="27"/>
  <c r="L293" i="36"/>
  <c r="L297" i="36"/>
  <c r="L301" i="36"/>
  <c r="L277" i="36"/>
  <c r="L281" i="36"/>
  <c r="L285" i="36"/>
  <c r="L289" i="36"/>
  <c r="L265" i="36"/>
  <c r="L269" i="36"/>
  <c r="L261" i="36"/>
  <c r="L258" i="36"/>
  <c r="C91" i="27"/>
  <c r="L237" i="36"/>
  <c r="L294" i="36"/>
  <c r="L298" i="36"/>
  <c r="L302" i="36"/>
  <c r="L291" i="36"/>
  <c r="L274" i="36"/>
  <c r="L278" i="36"/>
  <c r="L282" i="36"/>
  <c r="L286" i="36"/>
  <c r="L290" i="36"/>
  <c r="L266" i="36"/>
  <c r="L270" i="36"/>
  <c r="L259" i="36"/>
  <c r="L295" i="36"/>
  <c r="L275" i="36"/>
  <c r="L267" i="36"/>
  <c r="L245" i="36"/>
  <c r="L249" i="36"/>
  <c r="L253" i="36"/>
  <c r="L257" i="36"/>
  <c r="L241" i="36"/>
  <c r="L222" i="36"/>
  <c r="L226" i="36"/>
  <c r="L230" i="36"/>
  <c r="L234" i="36"/>
  <c r="L219" i="36"/>
  <c r="L202" i="36"/>
  <c r="L206" i="36"/>
  <c r="L210" i="36"/>
  <c r="L214" i="36"/>
  <c r="L218" i="36"/>
  <c r="C90" i="27"/>
  <c r="L238" i="36"/>
  <c r="L299" i="36"/>
  <c r="L279" i="36"/>
  <c r="L271" i="36"/>
  <c r="L260" i="36"/>
  <c r="L246" i="36"/>
  <c r="L250" i="36"/>
  <c r="L254" i="36"/>
  <c r="L243" i="36"/>
  <c r="L242" i="36"/>
  <c r="L223" i="36"/>
  <c r="L227" i="36"/>
  <c r="L231" i="36"/>
  <c r="L235" i="36"/>
  <c r="L203" i="36"/>
  <c r="L207" i="36"/>
  <c r="L211" i="36"/>
  <c r="L215" i="36"/>
  <c r="L196" i="36"/>
  <c r="L283" i="36"/>
  <c r="L262" i="36"/>
  <c r="L247" i="36"/>
  <c r="L251" i="36"/>
  <c r="L255" i="36"/>
  <c r="L240" i="36"/>
  <c r="L220" i="36"/>
  <c r="L224" i="36"/>
  <c r="L228" i="36"/>
  <c r="L232" i="36"/>
  <c r="L236" i="36"/>
  <c r="L204" i="36"/>
  <c r="L208" i="36"/>
  <c r="L212" i="36"/>
  <c r="L216" i="36"/>
  <c r="L287" i="36"/>
  <c r="L256" i="36"/>
  <c r="L221" i="36"/>
  <c r="L205" i="36"/>
  <c r="L153" i="36"/>
  <c r="L157" i="36"/>
  <c r="L161" i="36"/>
  <c r="L165" i="36"/>
  <c r="L169" i="36"/>
  <c r="L173" i="36"/>
  <c r="L177" i="36"/>
  <c r="L181" i="36"/>
  <c r="L185" i="36"/>
  <c r="L189" i="36"/>
  <c r="L193" i="36"/>
  <c r="L149" i="36"/>
  <c r="L143" i="36"/>
  <c r="L133" i="36"/>
  <c r="L137" i="36"/>
  <c r="L138" i="36"/>
  <c r="L244" i="36"/>
  <c r="L225" i="36"/>
  <c r="L209" i="36"/>
  <c r="L154" i="36"/>
  <c r="L158" i="36"/>
  <c r="L162" i="36"/>
  <c r="L166" i="36"/>
  <c r="L170" i="36"/>
  <c r="L174" i="36"/>
  <c r="L178" i="36"/>
  <c r="L182" i="36"/>
  <c r="L186" i="36"/>
  <c r="L190" i="36"/>
  <c r="L194" i="36"/>
  <c r="L150" i="36"/>
  <c r="L147" i="36"/>
  <c r="L144" i="36"/>
  <c r="L141" i="36"/>
  <c r="L134" i="36"/>
  <c r="L248" i="36"/>
  <c r="L229" i="36"/>
  <c r="L213" i="36"/>
  <c r="L195" i="36"/>
  <c r="L155" i="36"/>
  <c r="L159" i="36"/>
  <c r="L163" i="36"/>
  <c r="L167" i="36"/>
  <c r="L171" i="36"/>
  <c r="L175" i="36"/>
  <c r="L179" i="36"/>
  <c r="L183" i="36"/>
  <c r="L187" i="36"/>
  <c r="L191" i="36"/>
  <c r="L151" i="36"/>
  <c r="L145" i="36"/>
  <c r="L135" i="36"/>
  <c r="L140" i="36"/>
  <c r="L132" i="36"/>
  <c r="L217" i="36"/>
  <c r="L197" i="36"/>
  <c r="L160" i="36"/>
  <c r="L176" i="36"/>
  <c r="L192" i="36"/>
  <c r="L146" i="36"/>
  <c r="L139" i="36"/>
  <c r="L128" i="36"/>
  <c r="L124" i="36"/>
  <c r="L120" i="36"/>
  <c r="L114" i="36"/>
  <c r="L118" i="36"/>
  <c r="L111" i="36"/>
  <c r="L86" i="36"/>
  <c r="L90" i="36"/>
  <c r="L94" i="36"/>
  <c r="L98" i="36"/>
  <c r="L102" i="36"/>
  <c r="L106" i="36"/>
  <c r="L110" i="36"/>
  <c r="L80" i="36"/>
  <c r="L56" i="36"/>
  <c r="L60" i="36"/>
  <c r="L64" i="36"/>
  <c r="L68" i="36"/>
  <c r="L72" i="36"/>
  <c r="L76" i="36"/>
  <c r="L49" i="36"/>
  <c r="L53" i="36"/>
  <c r="L45" i="36"/>
  <c r="L41" i="36"/>
  <c r="L33" i="36"/>
  <c r="L37" i="36"/>
  <c r="L25" i="36"/>
  <c r="L29" i="36"/>
  <c r="L21" i="36"/>
  <c r="L17" i="36"/>
  <c r="L264" i="36"/>
  <c r="L252" i="36"/>
  <c r="L233" i="36"/>
  <c r="L164" i="36"/>
  <c r="L180" i="36"/>
  <c r="L129" i="36"/>
  <c r="L126" i="36"/>
  <c r="L125" i="36"/>
  <c r="L115" i="36"/>
  <c r="L119" i="36"/>
  <c r="L87" i="36"/>
  <c r="L91" i="36"/>
  <c r="L95" i="36"/>
  <c r="L99" i="36"/>
  <c r="L103" i="36"/>
  <c r="L107" i="36"/>
  <c r="L84" i="36"/>
  <c r="L81" i="36"/>
  <c r="L78" i="36"/>
  <c r="L57" i="36"/>
  <c r="L61" i="36"/>
  <c r="L65" i="36"/>
  <c r="L69" i="36"/>
  <c r="L73" i="36"/>
  <c r="L77" i="36"/>
  <c r="L54" i="36"/>
  <c r="L50" i="36"/>
  <c r="L46" i="36"/>
  <c r="L42" i="36"/>
  <c r="L34" i="36"/>
  <c r="L38" i="36"/>
  <c r="L30" i="36"/>
  <c r="L22" i="36"/>
  <c r="L26" i="36"/>
  <c r="L18" i="36"/>
  <c r="L168" i="36"/>
  <c r="L184" i="36"/>
  <c r="L148" i="36"/>
  <c r="L136" i="36"/>
  <c r="L130" i="36"/>
  <c r="L121" i="36"/>
  <c r="L112" i="36"/>
  <c r="L116" i="36"/>
  <c r="L88" i="36"/>
  <c r="L92" i="36"/>
  <c r="L96" i="36"/>
  <c r="L100" i="36"/>
  <c r="L104" i="36"/>
  <c r="L108" i="36"/>
  <c r="L82" i="36"/>
  <c r="L58" i="36"/>
  <c r="L62" i="36"/>
  <c r="L66" i="36"/>
  <c r="L70" i="36"/>
  <c r="L74" i="36"/>
  <c r="L51" i="36"/>
  <c r="L43" i="36"/>
  <c r="L47" i="36"/>
  <c r="L39" i="36"/>
  <c r="L31" i="36"/>
  <c r="L35" i="36"/>
  <c r="L23" i="36"/>
  <c r="L27" i="36"/>
  <c r="L19" i="36"/>
  <c r="L15" i="36"/>
  <c r="L14" i="36"/>
  <c r="L10" i="36"/>
  <c r="L6" i="36"/>
  <c r="M14" i="36"/>
  <c r="M10" i="36"/>
  <c r="M6" i="36"/>
  <c r="N13" i="36"/>
  <c r="N8" i="36"/>
  <c r="O3" i="36"/>
  <c r="O9" i="36"/>
  <c r="O4" i="36"/>
  <c r="N18" i="36"/>
  <c r="M28" i="36"/>
  <c r="O28" i="36"/>
  <c r="M36" i="36"/>
  <c r="O36" i="36"/>
  <c r="L40" i="36"/>
  <c r="O47" i="36"/>
  <c r="N50" i="36"/>
  <c r="L67" i="36"/>
  <c r="M74" i="36"/>
  <c r="M58" i="36"/>
  <c r="N65" i="36"/>
  <c r="O72" i="36"/>
  <c r="O56" i="36"/>
  <c r="L79" i="36"/>
  <c r="O80" i="36"/>
  <c r="L105" i="36"/>
  <c r="L89" i="36"/>
  <c r="M99" i="36"/>
  <c r="N109" i="36"/>
  <c r="N93" i="36"/>
  <c r="O103" i="36"/>
  <c r="O87" i="36"/>
  <c r="L113" i="36"/>
  <c r="N119" i="36"/>
  <c r="O114" i="36"/>
  <c r="O123" i="36"/>
  <c r="O122" i="36"/>
  <c r="L131" i="36"/>
  <c r="O129" i="36"/>
  <c r="N136" i="36"/>
  <c r="O143" i="36"/>
  <c r="O151" i="36"/>
  <c r="L172" i="36"/>
  <c r="N192" i="36"/>
  <c r="O159" i="36"/>
  <c r="N235" i="36"/>
  <c r="N248" i="36"/>
  <c r="I62" i="30"/>
  <c r="I50" i="30"/>
  <c r="I12" i="30"/>
  <c r="C98" i="30"/>
  <c r="I159" i="30"/>
  <c r="I56" i="30"/>
  <c r="C126" i="30"/>
  <c r="I63" i="30"/>
  <c r="I6" i="30"/>
  <c r="C68" i="30"/>
  <c r="I116" i="30"/>
  <c r="I160" i="30"/>
  <c r="I15" i="30"/>
  <c r="C44" i="30"/>
  <c r="I60" i="30"/>
  <c r="I85" i="30"/>
  <c r="C102" i="30"/>
  <c r="I119" i="30"/>
  <c r="I150" i="30"/>
  <c r="I163" i="30"/>
  <c r="I16" i="30"/>
  <c r="I39" i="30"/>
  <c r="C65" i="30"/>
  <c r="C95" i="30"/>
  <c r="I112" i="30"/>
  <c r="C131" i="30"/>
  <c r="I151" i="30"/>
  <c r="C169" i="30"/>
  <c r="C13" i="30"/>
  <c r="I24" i="30"/>
  <c r="I41" i="30"/>
  <c r="C50" i="30"/>
  <c r="I61" i="30"/>
  <c r="C70" i="30"/>
  <c r="C86" i="30"/>
  <c r="C97" i="30"/>
  <c r="C105" i="30"/>
  <c r="I127" i="30"/>
  <c r="I141" i="30"/>
  <c r="C151" i="30"/>
  <c r="I162" i="30"/>
  <c r="I132" i="30"/>
  <c r="I17" i="30"/>
  <c r="I26" i="30"/>
  <c r="I37" i="30"/>
  <c r="C46" i="30"/>
  <c r="C60" i="30"/>
  <c r="C69" i="30"/>
  <c r="I82" i="30"/>
  <c r="I98" i="30"/>
  <c r="I106" i="30"/>
  <c r="C119" i="30"/>
  <c r="I130" i="30"/>
  <c r="I144" i="30"/>
  <c r="C159" i="30"/>
  <c r="C133" i="30"/>
  <c r="I170" i="28"/>
  <c r="C170" i="28"/>
  <c r="C107" i="28"/>
  <c r="C171" i="28"/>
  <c r="C121" i="28"/>
  <c r="C61" i="28"/>
  <c r="I171" i="28"/>
  <c r="I90" i="28"/>
  <c r="M295" i="36"/>
  <c r="M299" i="36"/>
  <c r="M277" i="36"/>
  <c r="M281" i="36"/>
  <c r="M285" i="36"/>
  <c r="M289" i="36"/>
  <c r="M268" i="36"/>
  <c r="M272" i="36"/>
  <c r="M261" i="36"/>
  <c r="M260" i="36"/>
  <c r="M258" i="36"/>
  <c r="C91" i="28"/>
  <c r="M238" i="36"/>
  <c r="M237" i="36"/>
  <c r="M292" i="36"/>
  <c r="M296" i="36"/>
  <c r="M300" i="36"/>
  <c r="M291" i="36"/>
  <c r="M274" i="36"/>
  <c r="M278" i="36"/>
  <c r="M282" i="36"/>
  <c r="M286" i="36"/>
  <c r="M290" i="36"/>
  <c r="M265" i="36"/>
  <c r="M269" i="36"/>
  <c r="C90" i="28"/>
  <c r="M239" i="36"/>
  <c r="M293" i="36"/>
  <c r="M297" i="36"/>
  <c r="M301" i="36"/>
  <c r="M275" i="36"/>
  <c r="M279" i="36"/>
  <c r="M283" i="36"/>
  <c r="M287" i="36"/>
  <c r="M266" i="36"/>
  <c r="M270" i="36"/>
  <c r="M264" i="36"/>
  <c r="M262" i="36"/>
  <c r="M276" i="36"/>
  <c r="M247" i="36"/>
  <c r="M251" i="36"/>
  <c r="M255" i="36"/>
  <c r="M243" i="36"/>
  <c r="M223" i="36"/>
  <c r="M227" i="36"/>
  <c r="M231" i="36"/>
  <c r="M235" i="36"/>
  <c r="M203" i="36"/>
  <c r="M207" i="36"/>
  <c r="M211" i="36"/>
  <c r="M215" i="36"/>
  <c r="M197" i="36"/>
  <c r="M294" i="36"/>
  <c r="M280" i="36"/>
  <c r="M263" i="36"/>
  <c r="M244" i="36"/>
  <c r="M248" i="36"/>
  <c r="M252" i="36"/>
  <c r="M256" i="36"/>
  <c r="M240" i="36"/>
  <c r="M220" i="36"/>
  <c r="M224" i="36"/>
  <c r="M228" i="36"/>
  <c r="M232" i="36"/>
  <c r="M236" i="36"/>
  <c r="M204" i="36"/>
  <c r="M208" i="36"/>
  <c r="M212" i="36"/>
  <c r="M216" i="36"/>
  <c r="M201" i="36"/>
  <c r="M298" i="36"/>
  <c r="M284" i="36"/>
  <c r="M273" i="36"/>
  <c r="M267" i="36"/>
  <c r="M259" i="36"/>
  <c r="M245" i="36"/>
  <c r="M249" i="36"/>
  <c r="M253" i="36"/>
  <c r="M257" i="36"/>
  <c r="M241" i="36"/>
  <c r="M221" i="36"/>
  <c r="M225" i="36"/>
  <c r="M229" i="36"/>
  <c r="M233" i="36"/>
  <c r="M205" i="36"/>
  <c r="M209" i="36"/>
  <c r="M213" i="36"/>
  <c r="M217" i="36"/>
  <c r="M302" i="36"/>
  <c r="M254" i="36"/>
  <c r="M242" i="36"/>
  <c r="M222" i="36"/>
  <c r="M206" i="36"/>
  <c r="M155" i="36"/>
  <c r="M159" i="36"/>
  <c r="M163" i="36"/>
  <c r="M167" i="36"/>
  <c r="M171" i="36"/>
  <c r="M175" i="36"/>
  <c r="M179" i="36"/>
  <c r="M183" i="36"/>
  <c r="M187" i="36"/>
  <c r="M191" i="36"/>
  <c r="M150" i="36"/>
  <c r="M147" i="36"/>
  <c r="M142" i="36"/>
  <c r="M146" i="36"/>
  <c r="M141" i="36"/>
  <c r="M135" i="36"/>
  <c r="M140" i="36"/>
  <c r="M271" i="36"/>
  <c r="M226" i="36"/>
  <c r="M210" i="36"/>
  <c r="M195" i="36"/>
  <c r="M156" i="36"/>
  <c r="M160" i="36"/>
  <c r="M164" i="36"/>
  <c r="M168" i="36"/>
  <c r="M172" i="36"/>
  <c r="M176" i="36"/>
  <c r="M180" i="36"/>
  <c r="M184" i="36"/>
  <c r="M188" i="36"/>
  <c r="M192" i="36"/>
  <c r="M151" i="36"/>
  <c r="M143" i="36"/>
  <c r="M136" i="36"/>
  <c r="I91" i="28"/>
  <c r="M246" i="36"/>
  <c r="M230" i="36"/>
  <c r="M219" i="36"/>
  <c r="M214" i="36"/>
  <c r="M196" i="36"/>
  <c r="M153" i="36"/>
  <c r="M157" i="36"/>
  <c r="M161" i="36"/>
  <c r="M165" i="36"/>
  <c r="M169" i="36"/>
  <c r="M173" i="36"/>
  <c r="M177" i="36"/>
  <c r="M181" i="36"/>
  <c r="M185" i="36"/>
  <c r="M189" i="36"/>
  <c r="M193" i="36"/>
  <c r="M148" i="36"/>
  <c r="M152" i="36"/>
  <c r="M144" i="36"/>
  <c r="M133" i="36"/>
  <c r="M137" i="36"/>
  <c r="M138" i="36"/>
  <c r="M288" i="36"/>
  <c r="M250" i="36"/>
  <c r="M234" i="36"/>
  <c r="M154" i="36"/>
  <c r="M170" i="36"/>
  <c r="M186" i="36"/>
  <c r="M139" i="36"/>
  <c r="M129" i="36"/>
  <c r="M126" i="36"/>
  <c r="M124" i="36"/>
  <c r="M113" i="36"/>
  <c r="M117" i="36"/>
  <c r="M88" i="36"/>
  <c r="M92" i="36"/>
  <c r="M96" i="36"/>
  <c r="M100" i="36"/>
  <c r="M104" i="36"/>
  <c r="M108" i="36"/>
  <c r="M84" i="36"/>
  <c r="M79" i="36"/>
  <c r="M83" i="36"/>
  <c r="M78" i="36"/>
  <c r="M55" i="36"/>
  <c r="M59" i="36"/>
  <c r="M63" i="36"/>
  <c r="M67" i="36"/>
  <c r="M71" i="36"/>
  <c r="M75" i="36"/>
  <c r="M54" i="36"/>
  <c r="M50" i="36"/>
  <c r="M46" i="36"/>
  <c r="M42" i="36"/>
  <c r="M33" i="36"/>
  <c r="M37" i="36"/>
  <c r="M30" i="36"/>
  <c r="M25" i="36"/>
  <c r="M29" i="36"/>
  <c r="M18" i="36"/>
  <c r="M158" i="36"/>
  <c r="M174" i="36"/>
  <c r="M190" i="36"/>
  <c r="M149" i="36"/>
  <c r="M145" i="36"/>
  <c r="M132" i="36"/>
  <c r="M130" i="36"/>
  <c r="M125" i="36"/>
  <c r="M114" i="36"/>
  <c r="M118" i="36"/>
  <c r="M85" i="36"/>
  <c r="M89" i="36"/>
  <c r="M93" i="36"/>
  <c r="M97" i="36"/>
  <c r="M101" i="36"/>
  <c r="M105" i="36"/>
  <c r="M109" i="36"/>
  <c r="M80" i="36"/>
  <c r="M56" i="36"/>
  <c r="M60" i="36"/>
  <c r="M64" i="36"/>
  <c r="M68" i="36"/>
  <c r="M72" i="36"/>
  <c r="M76" i="36"/>
  <c r="M51" i="36"/>
  <c r="M43" i="36"/>
  <c r="M47" i="36"/>
  <c r="M40" i="36"/>
  <c r="M39" i="36"/>
  <c r="M34" i="36"/>
  <c r="M38" i="36"/>
  <c r="M22" i="36"/>
  <c r="M26" i="36"/>
  <c r="M19" i="36"/>
  <c r="M15" i="36"/>
  <c r="M202" i="36"/>
  <c r="M162" i="36"/>
  <c r="M178" i="36"/>
  <c r="M194" i="36"/>
  <c r="M134" i="36"/>
  <c r="M127" i="36"/>
  <c r="M131" i="36"/>
  <c r="M121" i="36"/>
  <c r="M115" i="36"/>
  <c r="M119" i="36"/>
  <c r="M86" i="36"/>
  <c r="M90" i="36"/>
  <c r="M94" i="36"/>
  <c r="M98" i="36"/>
  <c r="M102" i="36"/>
  <c r="M106" i="36"/>
  <c r="M110" i="36"/>
  <c r="M81" i="36"/>
  <c r="M57" i="36"/>
  <c r="M61" i="36"/>
  <c r="M65" i="36"/>
  <c r="M69" i="36"/>
  <c r="M73" i="36"/>
  <c r="M77" i="36"/>
  <c r="M52" i="36"/>
  <c r="M48" i="36"/>
  <c r="M44" i="36"/>
  <c r="M41" i="36"/>
  <c r="M31" i="36"/>
  <c r="M35" i="36"/>
  <c r="M23" i="36"/>
  <c r="M27" i="36"/>
  <c r="M16" i="36"/>
  <c r="M20" i="36"/>
  <c r="L13" i="36"/>
  <c r="L9" i="36"/>
  <c r="L5" i="36"/>
  <c r="M13" i="36"/>
  <c r="M9" i="36"/>
  <c r="M5" i="36"/>
  <c r="N12" i="36"/>
  <c r="N7" i="36"/>
  <c r="O13" i="36"/>
  <c r="O8" i="36"/>
  <c r="O15" i="36"/>
  <c r="L20" i="36"/>
  <c r="O19" i="36"/>
  <c r="M21" i="36"/>
  <c r="M24" i="36"/>
  <c r="O24" i="36"/>
  <c r="N30" i="36"/>
  <c r="M32" i="36"/>
  <c r="O32" i="36"/>
  <c r="O39" i="36"/>
  <c r="N40" i="36"/>
  <c r="N42" i="36"/>
  <c r="L44" i="36"/>
  <c r="O43" i="36"/>
  <c r="L48" i="36"/>
  <c r="L52" i="36"/>
  <c r="O51" i="36"/>
  <c r="N54" i="36"/>
  <c r="L63" i="36"/>
  <c r="M70" i="36"/>
  <c r="N77" i="36"/>
  <c r="N61" i="36"/>
  <c r="O68" i="36"/>
  <c r="N78" i="36"/>
  <c r="N81" i="36"/>
  <c r="N84" i="36"/>
  <c r="L101" i="36"/>
  <c r="L85" i="36"/>
  <c r="M95" i="36"/>
  <c r="N105" i="36"/>
  <c r="N89" i="36"/>
  <c r="O99" i="36"/>
  <c r="M111" i="36"/>
  <c r="N115" i="36"/>
  <c r="M120" i="36"/>
  <c r="L123" i="36"/>
  <c r="L122" i="36"/>
  <c r="N126" i="36"/>
  <c r="L127" i="36"/>
  <c r="L156" i="36"/>
  <c r="M218" i="36"/>
  <c r="C121" i="30"/>
  <c r="I170" i="30"/>
  <c r="C171" i="30"/>
  <c r="C170" i="30"/>
  <c r="C107" i="30"/>
  <c r="I171" i="30"/>
  <c r="I90" i="30"/>
  <c r="O293" i="36"/>
  <c r="O297" i="36"/>
  <c r="O301" i="36"/>
  <c r="O275" i="36"/>
  <c r="O279" i="36"/>
  <c r="O283" i="36"/>
  <c r="O287" i="36"/>
  <c r="O268" i="36"/>
  <c r="O272" i="36"/>
  <c r="O264" i="36"/>
  <c r="O262" i="36"/>
  <c r="O246" i="36"/>
  <c r="C91" i="30"/>
  <c r="O238" i="36"/>
  <c r="O294" i="36"/>
  <c r="O298" i="36"/>
  <c r="O302" i="36"/>
  <c r="O276" i="36"/>
  <c r="O280" i="36"/>
  <c r="O284" i="36"/>
  <c r="O288" i="36"/>
  <c r="O273" i="36"/>
  <c r="O265" i="36"/>
  <c r="O269" i="36"/>
  <c r="O263" i="36"/>
  <c r="O259" i="36"/>
  <c r="I91" i="30"/>
  <c r="O239" i="36"/>
  <c r="O295" i="36"/>
  <c r="O299" i="36"/>
  <c r="O277" i="36"/>
  <c r="O281" i="36"/>
  <c r="O285" i="36"/>
  <c r="O289" i="36"/>
  <c r="O266" i="36"/>
  <c r="O270" i="36"/>
  <c r="O261" i="36"/>
  <c r="O260" i="36"/>
  <c r="O258" i="36"/>
  <c r="O244" i="36"/>
  <c r="O248" i="36"/>
  <c r="O252" i="36"/>
  <c r="O296" i="36"/>
  <c r="O278" i="36"/>
  <c r="O250" i="36"/>
  <c r="O255" i="36"/>
  <c r="O221" i="36"/>
  <c r="O225" i="36"/>
  <c r="O229" i="36"/>
  <c r="O233" i="36"/>
  <c r="O205" i="36"/>
  <c r="O209" i="36"/>
  <c r="O213" i="36"/>
  <c r="O217" i="36"/>
  <c r="O197" i="36"/>
  <c r="O195" i="36"/>
  <c r="O153" i="36"/>
  <c r="O157" i="36"/>
  <c r="O161" i="36"/>
  <c r="O165" i="36"/>
  <c r="O169" i="36"/>
  <c r="O173" i="36"/>
  <c r="O177" i="36"/>
  <c r="O181" i="36"/>
  <c r="O185" i="36"/>
  <c r="O189" i="36"/>
  <c r="O193" i="36"/>
  <c r="C90" i="30"/>
  <c r="O300" i="36"/>
  <c r="O282" i="36"/>
  <c r="O245" i="36"/>
  <c r="O251" i="36"/>
  <c r="O256" i="36"/>
  <c r="O222" i="36"/>
  <c r="O226" i="36"/>
  <c r="O230" i="36"/>
  <c r="O234" i="36"/>
  <c r="O219" i="36"/>
  <c r="O202" i="36"/>
  <c r="O206" i="36"/>
  <c r="O210" i="36"/>
  <c r="O214" i="36"/>
  <c r="O218" i="36"/>
  <c r="O237" i="36"/>
  <c r="O291" i="36"/>
  <c r="O286" i="36"/>
  <c r="O267" i="36"/>
  <c r="O247" i="36"/>
  <c r="O253" i="36"/>
  <c r="O257" i="36"/>
  <c r="O243" i="36"/>
  <c r="O241" i="36"/>
  <c r="O223" i="36"/>
  <c r="O227" i="36"/>
  <c r="O231" i="36"/>
  <c r="O235" i="36"/>
  <c r="O203" i="36"/>
  <c r="O207" i="36"/>
  <c r="O211" i="36"/>
  <c r="O215" i="36"/>
  <c r="O274" i="36"/>
  <c r="O271" i="36"/>
  <c r="O249" i="36"/>
  <c r="O224" i="36"/>
  <c r="O208" i="36"/>
  <c r="O196" i="36"/>
  <c r="O155" i="36"/>
  <c r="O160" i="36"/>
  <c r="O166" i="36"/>
  <c r="O171" i="36"/>
  <c r="O176" i="36"/>
  <c r="O182" i="36"/>
  <c r="O187" i="36"/>
  <c r="O192" i="36"/>
  <c r="O148" i="36"/>
  <c r="O152" i="36"/>
  <c r="O144" i="36"/>
  <c r="O135" i="36"/>
  <c r="O140" i="36"/>
  <c r="O128" i="36"/>
  <c r="O290" i="36"/>
  <c r="O254" i="36"/>
  <c r="O228" i="36"/>
  <c r="O212" i="36"/>
  <c r="O156" i="36"/>
  <c r="O162" i="36"/>
  <c r="O167" i="36"/>
  <c r="O172" i="36"/>
  <c r="O178" i="36"/>
  <c r="O183" i="36"/>
  <c r="O188" i="36"/>
  <c r="O194" i="36"/>
  <c r="O149" i="36"/>
  <c r="O145" i="36"/>
  <c r="O136" i="36"/>
  <c r="O292" i="36"/>
  <c r="O240" i="36"/>
  <c r="O232" i="36"/>
  <c r="O216" i="36"/>
  <c r="O201" i="36"/>
  <c r="O158" i="36"/>
  <c r="O163" i="36"/>
  <c r="O168" i="36"/>
  <c r="O174" i="36"/>
  <c r="O179" i="36"/>
  <c r="O184" i="36"/>
  <c r="O190" i="36"/>
  <c r="O150" i="36"/>
  <c r="O147" i="36"/>
  <c r="O142" i="36"/>
  <c r="O146" i="36"/>
  <c r="O141" i="36"/>
  <c r="O133" i="36"/>
  <c r="O137" i="36"/>
  <c r="O138" i="36"/>
  <c r="O204" i="36"/>
  <c r="O164" i="36"/>
  <c r="O186" i="36"/>
  <c r="O132" i="36"/>
  <c r="O130" i="36"/>
  <c r="O124" i="36"/>
  <c r="O115" i="36"/>
  <c r="O119" i="36"/>
  <c r="O88" i="36"/>
  <c r="O92" i="36"/>
  <c r="O96" i="36"/>
  <c r="O100" i="36"/>
  <c r="O104" i="36"/>
  <c r="O108" i="36"/>
  <c r="O81" i="36"/>
  <c r="O57" i="36"/>
  <c r="O61" i="36"/>
  <c r="O65" i="36"/>
  <c r="O69" i="36"/>
  <c r="O73" i="36"/>
  <c r="O77" i="36"/>
  <c r="O52" i="36"/>
  <c r="O48" i="36"/>
  <c r="O44" i="36"/>
  <c r="O33" i="36"/>
  <c r="O37" i="36"/>
  <c r="O25" i="36"/>
  <c r="O29" i="36"/>
  <c r="O16" i="36"/>
  <c r="O20" i="36"/>
  <c r="O220" i="36"/>
  <c r="O170" i="36"/>
  <c r="O191" i="36"/>
  <c r="O139" i="36"/>
  <c r="O131" i="36"/>
  <c r="O125" i="36"/>
  <c r="O120" i="36"/>
  <c r="O112" i="36"/>
  <c r="O116" i="36"/>
  <c r="O111" i="36"/>
  <c r="O85" i="36"/>
  <c r="O89" i="36"/>
  <c r="O93" i="36"/>
  <c r="O97" i="36"/>
  <c r="O101" i="36"/>
  <c r="O105" i="36"/>
  <c r="O109" i="36"/>
  <c r="O82" i="36"/>
  <c r="O58" i="36"/>
  <c r="O62" i="36"/>
  <c r="O66" i="36"/>
  <c r="O70" i="36"/>
  <c r="O74" i="36"/>
  <c r="O49" i="36"/>
  <c r="O53" i="36"/>
  <c r="O45" i="36"/>
  <c r="O40" i="36"/>
  <c r="O34" i="36"/>
  <c r="O38" i="36"/>
  <c r="O22" i="36"/>
  <c r="O26" i="36"/>
  <c r="O21" i="36"/>
  <c r="O17" i="36"/>
  <c r="O6" i="36"/>
  <c r="O10" i="36"/>
  <c r="O14" i="36"/>
  <c r="O236" i="36"/>
  <c r="O154" i="36"/>
  <c r="O175" i="36"/>
  <c r="O127" i="36"/>
  <c r="O126" i="36"/>
  <c r="O121" i="36"/>
  <c r="O113" i="36"/>
  <c r="O117" i="36"/>
  <c r="O86" i="36"/>
  <c r="O90" i="36"/>
  <c r="O94" i="36"/>
  <c r="O98" i="36"/>
  <c r="O102" i="36"/>
  <c r="O106" i="36"/>
  <c r="O110" i="36"/>
  <c r="O84" i="36"/>
  <c r="O79" i="36"/>
  <c r="O83" i="36"/>
  <c r="O78" i="36"/>
  <c r="O55" i="36"/>
  <c r="O59" i="36"/>
  <c r="O63" i="36"/>
  <c r="O67" i="36"/>
  <c r="O71" i="36"/>
  <c r="O75" i="36"/>
  <c r="O54" i="36"/>
  <c r="O50" i="36"/>
  <c r="O46" i="36"/>
  <c r="O42" i="36"/>
  <c r="O41" i="36"/>
  <c r="O31" i="36"/>
  <c r="O35" i="36"/>
  <c r="O30" i="36"/>
  <c r="O23" i="36"/>
  <c r="O27" i="36"/>
  <c r="O18" i="36"/>
  <c r="O5" i="36"/>
  <c r="O76" i="36"/>
  <c r="O91" i="36"/>
  <c r="O118" i="36"/>
  <c r="C17" i="30"/>
  <c r="I83" i="30"/>
  <c r="I57" i="30"/>
  <c r="I101" i="30"/>
  <c r="C40" i="30"/>
  <c r="I166" i="30"/>
  <c r="I69" i="30"/>
  <c r="C144" i="30"/>
  <c r="I107" i="30"/>
  <c r="I13" i="30"/>
  <c r="C87" i="30"/>
  <c r="I122" i="30"/>
  <c r="I167" i="30"/>
  <c r="C23" i="30"/>
  <c r="I46" i="30"/>
  <c r="C64" i="30"/>
  <c r="I89" i="30"/>
  <c r="I104" i="30"/>
  <c r="C123" i="30"/>
  <c r="C154" i="30"/>
  <c r="C168" i="30"/>
  <c r="C21" i="30"/>
  <c r="C45" i="30"/>
  <c r="I72" i="30"/>
  <c r="I97" i="30"/>
  <c r="C118" i="30"/>
  <c r="C141" i="30"/>
  <c r="C155" i="30"/>
  <c r="C6" i="30"/>
  <c r="C16" i="30"/>
  <c r="I27" i="30"/>
  <c r="C43" i="30"/>
  <c r="I55" i="30"/>
  <c r="C63" i="30"/>
  <c r="I76" i="30"/>
  <c r="I87" i="30"/>
  <c r="I99" i="30"/>
  <c r="I118" i="30"/>
  <c r="C129" i="30"/>
  <c r="C143" i="30"/>
  <c r="I155" i="30"/>
  <c r="C164" i="30"/>
  <c r="I7" i="30"/>
  <c r="I20" i="30"/>
  <c r="I29" i="30"/>
  <c r="I40" i="30"/>
  <c r="I51" i="30"/>
  <c r="C62" i="30"/>
  <c r="I73" i="30"/>
  <c r="C83" i="30"/>
  <c r="C100" i="30"/>
  <c r="I108" i="30"/>
  <c r="I123" i="30"/>
  <c r="I137" i="30"/>
  <c r="I147" i="30"/>
  <c r="I161" i="30"/>
  <c r="C121" i="29"/>
  <c r="C61" i="29"/>
  <c r="I170" i="29"/>
  <c r="C171" i="29"/>
  <c r="I171" i="29"/>
  <c r="C107" i="29"/>
  <c r="C170" i="29"/>
  <c r="C90" i="29"/>
  <c r="N239" i="36"/>
  <c r="N237" i="36"/>
  <c r="N294" i="36"/>
  <c r="N298" i="36"/>
  <c r="N302" i="36"/>
  <c r="N291" i="36"/>
  <c r="N274" i="36"/>
  <c r="N278" i="36"/>
  <c r="N282" i="36"/>
  <c r="N286" i="36"/>
  <c r="N290" i="36"/>
  <c r="N268" i="36"/>
  <c r="N272" i="36"/>
  <c r="N259" i="36"/>
  <c r="I90" i="29"/>
  <c r="N295" i="36"/>
  <c r="N299" i="36"/>
  <c r="N275" i="36"/>
  <c r="N279" i="36"/>
  <c r="N283" i="36"/>
  <c r="N287" i="36"/>
  <c r="N265" i="36"/>
  <c r="N269" i="36"/>
  <c r="N264" i="36"/>
  <c r="N262" i="36"/>
  <c r="N260" i="36"/>
  <c r="C91" i="29"/>
  <c r="N292" i="36"/>
  <c r="N296" i="36"/>
  <c r="N300" i="36"/>
  <c r="N276" i="36"/>
  <c r="N280" i="36"/>
  <c r="N284" i="36"/>
  <c r="N288" i="36"/>
  <c r="N273" i="36"/>
  <c r="N266" i="36"/>
  <c r="N270" i="36"/>
  <c r="N263" i="36"/>
  <c r="N238" i="36"/>
  <c r="N301" i="36"/>
  <c r="N277" i="36"/>
  <c r="N267" i="36"/>
  <c r="N245" i="36"/>
  <c r="N249" i="36"/>
  <c r="N253" i="36"/>
  <c r="N257" i="36"/>
  <c r="N241" i="36"/>
  <c r="N240" i="36"/>
  <c r="N220" i="36"/>
  <c r="N224" i="36"/>
  <c r="N228" i="36"/>
  <c r="N232" i="36"/>
  <c r="N236" i="36"/>
  <c r="N204" i="36"/>
  <c r="N208" i="36"/>
  <c r="N212" i="36"/>
  <c r="N216" i="36"/>
  <c r="N201" i="36"/>
  <c r="N155" i="36"/>
  <c r="N159" i="36"/>
  <c r="N281" i="36"/>
  <c r="N271" i="36"/>
  <c r="N258" i="36"/>
  <c r="N246" i="36"/>
  <c r="N250" i="36"/>
  <c r="N254" i="36"/>
  <c r="N242" i="36"/>
  <c r="N221" i="36"/>
  <c r="N225" i="36"/>
  <c r="N229" i="36"/>
  <c r="N233" i="36"/>
  <c r="N205" i="36"/>
  <c r="N209" i="36"/>
  <c r="N213" i="36"/>
  <c r="N217" i="36"/>
  <c r="N196" i="36"/>
  <c r="N195" i="36"/>
  <c r="N293" i="36"/>
  <c r="N285" i="36"/>
  <c r="N261" i="36"/>
  <c r="N247" i="36"/>
  <c r="N251" i="36"/>
  <c r="N255" i="36"/>
  <c r="N222" i="36"/>
  <c r="N226" i="36"/>
  <c r="N230" i="36"/>
  <c r="N234" i="36"/>
  <c r="N219" i="36"/>
  <c r="N202" i="36"/>
  <c r="N206" i="36"/>
  <c r="N210" i="36"/>
  <c r="N214" i="36"/>
  <c r="N218" i="36"/>
  <c r="N252" i="36"/>
  <c r="N223" i="36"/>
  <c r="N207" i="36"/>
  <c r="N156" i="36"/>
  <c r="N161" i="36"/>
  <c r="N165" i="36"/>
  <c r="N169" i="36"/>
  <c r="N173" i="36"/>
  <c r="N177" i="36"/>
  <c r="N181" i="36"/>
  <c r="N185" i="36"/>
  <c r="N189" i="36"/>
  <c r="N193" i="36"/>
  <c r="N151" i="36"/>
  <c r="N145" i="36"/>
  <c r="N133" i="36"/>
  <c r="N137" i="36"/>
  <c r="N138" i="36"/>
  <c r="N132" i="36"/>
  <c r="N127" i="36"/>
  <c r="N256" i="36"/>
  <c r="N227" i="36"/>
  <c r="N211" i="36"/>
  <c r="N197" i="36"/>
  <c r="N157" i="36"/>
  <c r="N162" i="36"/>
  <c r="N166" i="36"/>
  <c r="N170" i="36"/>
  <c r="N174" i="36"/>
  <c r="N178" i="36"/>
  <c r="N182" i="36"/>
  <c r="N186" i="36"/>
  <c r="N190" i="36"/>
  <c r="N194" i="36"/>
  <c r="N148" i="36"/>
  <c r="N152" i="36"/>
  <c r="N142" i="36"/>
  <c r="N146" i="36"/>
  <c r="N134" i="36"/>
  <c r="N139" i="36"/>
  <c r="I91" i="29"/>
  <c r="N289" i="36"/>
  <c r="N244" i="36"/>
  <c r="N243" i="36"/>
  <c r="N231" i="36"/>
  <c r="N215" i="36"/>
  <c r="N153" i="36"/>
  <c r="N158" i="36"/>
  <c r="N163" i="36"/>
  <c r="N167" i="36"/>
  <c r="N171" i="36"/>
  <c r="N175" i="36"/>
  <c r="N179" i="36"/>
  <c r="N183" i="36"/>
  <c r="N187" i="36"/>
  <c r="N191" i="36"/>
  <c r="N149" i="36"/>
  <c r="N143" i="36"/>
  <c r="N135" i="36"/>
  <c r="N140" i="36"/>
  <c r="N297" i="36"/>
  <c r="N164" i="36"/>
  <c r="N180" i="36"/>
  <c r="N150" i="36"/>
  <c r="N130" i="36"/>
  <c r="N124" i="36"/>
  <c r="N112" i="36"/>
  <c r="N116" i="36"/>
  <c r="N86" i="36"/>
  <c r="N90" i="36"/>
  <c r="N94" i="36"/>
  <c r="N98" i="36"/>
  <c r="N102" i="36"/>
  <c r="N106" i="36"/>
  <c r="N110" i="36"/>
  <c r="N82" i="36"/>
  <c r="N58" i="36"/>
  <c r="N62" i="36"/>
  <c r="N66" i="36"/>
  <c r="N70" i="36"/>
  <c r="N74" i="36"/>
  <c r="N51" i="36"/>
  <c r="N43" i="36"/>
  <c r="N47" i="36"/>
  <c r="N41" i="36"/>
  <c r="N39" i="36"/>
  <c r="N33" i="36"/>
  <c r="N37" i="36"/>
  <c r="N25" i="36"/>
  <c r="N29" i="36"/>
  <c r="N19" i="36"/>
  <c r="N15" i="36"/>
  <c r="N203" i="36"/>
  <c r="N168" i="36"/>
  <c r="N184" i="36"/>
  <c r="N131" i="36"/>
  <c r="N125" i="36"/>
  <c r="N113" i="36"/>
  <c r="N117" i="36"/>
  <c r="N87" i="36"/>
  <c r="N91" i="36"/>
  <c r="N95" i="36"/>
  <c r="N99" i="36"/>
  <c r="N103" i="36"/>
  <c r="N107" i="36"/>
  <c r="N79" i="36"/>
  <c r="N83" i="36"/>
  <c r="N55" i="36"/>
  <c r="N59" i="36"/>
  <c r="N63" i="36"/>
  <c r="N67" i="36"/>
  <c r="N71" i="36"/>
  <c r="N75" i="36"/>
  <c r="N52" i="36"/>
  <c r="N48" i="36"/>
  <c r="N44" i="36"/>
  <c r="N34" i="36"/>
  <c r="N38" i="36"/>
  <c r="N22" i="36"/>
  <c r="N26" i="36"/>
  <c r="N16" i="36"/>
  <c r="N20" i="36"/>
  <c r="N6" i="36"/>
  <c r="N10" i="36"/>
  <c r="N14" i="36"/>
  <c r="N154" i="36"/>
  <c r="N172" i="36"/>
  <c r="N188" i="36"/>
  <c r="N147" i="36"/>
  <c r="N144" i="36"/>
  <c r="N141" i="36"/>
  <c r="N128" i="36"/>
  <c r="N121" i="36"/>
  <c r="N120" i="36"/>
  <c r="N114" i="36"/>
  <c r="N118" i="36"/>
  <c r="N111" i="36"/>
  <c r="N88" i="36"/>
  <c r="N92" i="36"/>
  <c r="N96" i="36"/>
  <c r="N100" i="36"/>
  <c r="N104" i="36"/>
  <c r="N108" i="36"/>
  <c r="N80" i="36"/>
  <c r="N56" i="36"/>
  <c r="N60" i="36"/>
  <c r="N64" i="36"/>
  <c r="N68" i="36"/>
  <c r="N72" i="36"/>
  <c r="N76" i="36"/>
  <c r="N49" i="36"/>
  <c r="N53" i="36"/>
  <c r="N45" i="36"/>
  <c r="N31" i="36"/>
  <c r="N35" i="36"/>
  <c r="N23" i="36"/>
  <c r="N27" i="36"/>
  <c r="N21" i="36"/>
  <c r="N17" i="36"/>
  <c r="L12" i="36"/>
  <c r="L8" i="36"/>
  <c r="L4" i="36"/>
  <c r="M12" i="36"/>
  <c r="M8" i="36"/>
  <c r="M4" i="36"/>
  <c r="N11" i="36"/>
  <c r="N5" i="36"/>
  <c r="O12" i="36"/>
  <c r="O7" i="36"/>
  <c r="L16" i="36"/>
  <c r="L28" i="36"/>
  <c r="N28" i="36"/>
  <c r="L36" i="36"/>
  <c r="N36" i="36"/>
  <c r="M45" i="36"/>
  <c r="M53" i="36"/>
  <c r="L75" i="36"/>
  <c r="L59" i="36"/>
  <c r="M66" i="36"/>
  <c r="N73" i="36"/>
  <c r="N57" i="36"/>
  <c r="O64" i="36"/>
  <c r="M82" i="36"/>
  <c r="L97" i="36"/>
  <c r="M107" i="36"/>
  <c r="M91" i="36"/>
  <c r="N101" i="36"/>
  <c r="N85" i="36"/>
  <c r="O95" i="36"/>
  <c r="M116" i="36"/>
  <c r="M123" i="36"/>
  <c r="M122" i="36"/>
  <c r="M128" i="36"/>
  <c r="L142" i="36"/>
  <c r="M182" i="36"/>
  <c r="N160" i="36"/>
  <c r="L201" i="36"/>
  <c r="O242" i="36"/>
  <c r="I170" i="15"/>
  <c r="C107" i="15"/>
  <c r="C121" i="15"/>
  <c r="C61" i="15"/>
  <c r="C171" i="15"/>
  <c r="I171" i="15"/>
  <c r="C170" i="15"/>
  <c r="C90" i="15"/>
  <c r="K293" i="36"/>
  <c r="K297" i="36"/>
  <c r="K301" i="36"/>
  <c r="K275" i="36"/>
  <c r="K279" i="36"/>
  <c r="K283" i="36"/>
  <c r="K287" i="36"/>
  <c r="K268" i="36"/>
  <c r="K272" i="36"/>
  <c r="K264" i="36"/>
  <c r="K262" i="36"/>
  <c r="I91" i="15"/>
  <c r="K238" i="36"/>
  <c r="K294" i="36"/>
  <c r="K298" i="36"/>
  <c r="K302" i="36"/>
  <c r="K276" i="36"/>
  <c r="K280" i="36"/>
  <c r="K284" i="36"/>
  <c r="K288" i="36"/>
  <c r="K273" i="36"/>
  <c r="K265" i="36"/>
  <c r="K269" i="36"/>
  <c r="K263" i="36"/>
  <c r="K259" i="36"/>
  <c r="I90" i="15"/>
  <c r="K239" i="36"/>
  <c r="K295" i="36"/>
  <c r="K299" i="36"/>
  <c r="K277" i="36"/>
  <c r="K281" i="36"/>
  <c r="K285" i="36"/>
  <c r="K289" i="36"/>
  <c r="K266" i="36"/>
  <c r="K270" i="36"/>
  <c r="K261" i="36"/>
  <c r="K260" i="36"/>
  <c r="K258" i="36"/>
  <c r="K290" i="36"/>
  <c r="K274" i="36"/>
  <c r="K300" i="36"/>
  <c r="I91" i="16"/>
  <c r="C120" i="17"/>
  <c r="C103" i="17"/>
  <c r="I171" i="17"/>
  <c r="C61" i="17"/>
  <c r="I172" i="17"/>
  <c r="C172" i="17"/>
  <c r="C104" i="17"/>
  <c r="C60" i="17"/>
  <c r="C107" i="17"/>
  <c r="C171" i="17"/>
  <c r="C121" i="17"/>
  <c r="I91" i="17"/>
  <c r="C61" i="16"/>
  <c r="I170" i="16"/>
  <c r="C170" i="16"/>
  <c r="C121" i="16"/>
  <c r="C104" i="16"/>
  <c r="C60" i="16"/>
  <c r="C171" i="16"/>
  <c r="C103" i="16"/>
  <c r="C107" i="16"/>
  <c r="I171" i="16"/>
  <c r="C90" i="17"/>
  <c r="C91" i="16"/>
  <c r="E149" i="4"/>
  <c r="E186" i="4"/>
  <c r="E166" i="4"/>
  <c r="E174" i="4"/>
  <c r="E165" i="4"/>
  <c r="E99" i="4"/>
  <c r="E207" i="4"/>
  <c r="E128" i="4"/>
  <c r="E179" i="4"/>
  <c r="E160" i="4"/>
  <c r="E15" i="4"/>
  <c r="E170" i="4"/>
  <c r="E194" i="4"/>
  <c r="E122" i="4"/>
  <c r="E76" i="4"/>
  <c r="E167" i="4"/>
  <c r="E117" i="4"/>
  <c r="E188" i="4"/>
  <c r="E208" i="4"/>
  <c r="E16" i="4"/>
  <c r="E36" i="4"/>
  <c r="E142" i="4"/>
  <c r="E42" i="4"/>
  <c r="E10" i="4"/>
  <c r="E34" i="4"/>
  <c r="E43" i="4"/>
  <c r="E116" i="4"/>
  <c r="E145" i="4"/>
  <c r="E161" i="4"/>
  <c r="E168" i="4"/>
  <c r="E38" i="4"/>
  <c r="E48" i="4"/>
  <c r="O45" i="33"/>
  <c r="O44" i="33" s="1"/>
  <c r="O201" i="33"/>
  <c r="R239" i="1"/>
  <c r="O79" i="33"/>
  <c r="O78" i="33" s="1"/>
  <c r="U110" i="34"/>
  <c r="W78" i="34"/>
  <c r="O204" i="33"/>
  <c r="R10" i="1"/>
  <c r="O20" i="33"/>
  <c r="O19" i="33" s="1"/>
  <c r="O110" i="33"/>
  <c r="O124" i="33"/>
  <c r="O123" i="33" s="1"/>
  <c r="R63" i="1"/>
  <c r="U45" i="34"/>
  <c r="U61" i="34"/>
  <c r="U26" i="34"/>
  <c r="U25" i="34" s="1"/>
  <c r="D14" i="6"/>
  <c r="O102" i="33"/>
  <c r="E89" i="36"/>
  <c r="E140" i="36"/>
  <c r="E191" i="36"/>
  <c r="U85" i="34"/>
  <c r="O99" i="33"/>
  <c r="O76" i="33"/>
  <c r="O74" i="33" s="1"/>
  <c r="R25" i="1"/>
  <c r="O12" i="33"/>
  <c r="O10" i="33" s="1"/>
  <c r="O153" i="33"/>
  <c r="O152" i="33" s="1"/>
  <c r="O144" i="33"/>
  <c r="R244" i="1"/>
  <c r="U50" i="34"/>
  <c r="U49" i="34" s="1"/>
  <c r="O108" i="33"/>
  <c r="U79" i="34"/>
  <c r="U78" i="34" s="1"/>
  <c r="U76" i="34"/>
  <c r="O32" i="33"/>
  <c r="P32" i="33" s="1"/>
  <c r="S95" i="33"/>
  <c r="R95" i="33" s="1"/>
  <c r="Y94" i="34"/>
  <c r="X94" i="34" s="1"/>
  <c r="U145" i="34"/>
  <c r="D18" i="6"/>
  <c r="O94" i="33"/>
  <c r="S94" i="33"/>
  <c r="R94" i="33" s="1"/>
  <c r="D7" i="6"/>
  <c r="D9" i="6"/>
  <c r="U31" i="34"/>
  <c r="D26" i="6"/>
  <c r="U102" i="34"/>
  <c r="R449" i="1"/>
  <c r="R250" i="1"/>
  <c r="O200" i="33"/>
  <c r="E298" i="36"/>
  <c r="U94" i="34"/>
  <c r="W82" i="34"/>
  <c r="E172" i="36"/>
  <c r="R32" i="33"/>
  <c r="R207" i="1"/>
  <c r="R462" i="1"/>
  <c r="U154" i="34"/>
  <c r="U153" i="34" s="1"/>
  <c r="O52" i="33"/>
  <c r="O199" i="33"/>
  <c r="O59" i="33"/>
  <c r="O121" i="33"/>
  <c r="R51" i="1"/>
  <c r="R68" i="1"/>
  <c r="U121" i="34"/>
  <c r="E52" i="36"/>
  <c r="E76" i="36"/>
  <c r="E211" i="36"/>
  <c r="U166" i="34"/>
  <c r="X32" i="34"/>
  <c r="E59" i="36"/>
  <c r="S92" i="33"/>
  <c r="R92" i="33" s="1"/>
  <c r="P80" i="33"/>
  <c r="E221" i="36"/>
  <c r="R139" i="1"/>
  <c r="O89" i="33"/>
  <c r="O87" i="33" s="1"/>
  <c r="U41" i="34"/>
  <c r="R4" i="1"/>
  <c r="D6" i="6"/>
  <c r="R154" i="1"/>
  <c r="R109" i="1"/>
  <c r="O42" i="33"/>
  <c r="R444" i="1"/>
  <c r="U99" i="34"/>
  <c r="R439" i="1"/>
  <c r="U56" i="34"/>
  <c r="U55" i="34" s="1"/>
  <c r="R84" i="1"/>
  <c r="D13" i="6"/>
  <c r="R15" i="1"/>
  <c r="O8" i="33"/>
  <c r="O5" i="33" s="1"/>
  <c r="D11" i="6"/>
  <c r="U83" i="34"/>
  <c r="E137" i="36"/>
  <c r="E122" i="36"/>
  <c r="E125" i="36"/>
  <c r="E131" i="36"/>
  <c r="E143" i="36"/>
  <c r="E212" i="36"/>
  <c r="E236" i="36"/>
  <c r="W119" i="34"/>
  <c r="W14" i="34"/>
  <c r="U163" i="34"/>
  <c r="R30" i="1"/>
  <c r="R134" i="1"/>
  <c r="O15" i="33"/>
  <c r="R58" i="1"/>
  <c r="R424" i="1"/>
  <c r="D25" i="6"/>
  <c r="O143" i="33"/>
  <c r="O101" i="33"/>
  <c r="D28" i="6"/>
  <c r="O50" i="33"/>
  <c r="E203" i="36"/>
  <c r="R78" i="1"/>
  <c r="E242" i="36"/>
  <c r="E188" i="36"/>
  <c r="E226" i="36"/>
  <c r="R341" i="1"/>
  <c r="W163" i="34"/>
  <c r="U144" i="34"/>
  <c r="E247" i="36"/>
  <c r="E46" i="36"/>
  <c r="O95" i="33"/>
  <c r="O163" i="33"/>
  <c r="E104" i="36"/>
  <c r="E56" i="36"/>
  <c r="E233" i="36"/>
  <c r="R129" i="1"/>
  <c r="O40" i="33"/>
  <c r="U15" i="34"/>
  <c r="R429" i="1"/>
  <c r="R434" i="1"/>
  <c r="R492" i="1"/>
  <c r="E241" i="36"/>
  <c r="R172" i="1"/>
  <c r="R45" i="1"/>
  <c r="R35" i="1"/>
  <c r="R306" i="1"/>
  <c r="O194" i="33"/>
  <c r="O165" i="33"/>
  <c r="E227" i="36"/>
  <c r="E290" i="36"/>
  <c r="P229" i="1"/>
  <c r="D118" i="36"/>
  <c r="E118" i="36" s="1"/>
  <c r="R197" i="1"/>
  <c r="R187" i="1"/>
  <c r="R40" i="1"/>
  <c r="U17" i="34"/>
  <c r="D8" i="6"/>
  <c r="R159" i="1"/>
  <c r="U46" i="34"/>
  <c r="U64" i="34"/>
  <c r="O64" i="33"/>
  <c r="R260" i="1"/>
  <c r="D19" i="6"/>
  <c r="U84" i="34"/>
  <c r="O84" i="33"/>
  <c r="R255" i="1"/>
  <c r="U33" i="34"/>
  <c r="O33" i="33"/>
  <c r="R91" i="1"/>
  <c r="P93" i="1"/>
  <c r="D49" i="36"/>
  <c r="E49" i="36" s="1"/>
  <c r="P141" i="1"/>
  <c r="D70" i="36"/>
  <c r="E70" i="36" s="1"/>
  <c r="P390" i="1"/>
  <c r="D202" i="36"/>
  <c r="E202" i="36" s="1"/>
  <c r="P565" i="1"/>
  <c r="D301" i="36"/>
  <c r="E301" i="36" s="1"/>
  <c r="D15" i="6"/>
  <c r="U60" i="34"/>
  <c r="R212" i="1"/>
  <c r="R167" i="1"/>
  <c r="U203" i="34"/>
  <c r="O202" i="33"/>
  <c r="U107" i="34"/>
  <c r="R346" i="1"/>
  <c r="R356" i="1"/>
  <c r="R300" i="1"/>
  <c r="R361" i="1"/>
  <c r="O107" i="33"/>
  <c r="P107" i="33" s="1"/>
  <c r="R316" i="1"/>
  <c r="R321" i="1"/>
  <c r="R367" i="1"/>
  <c r="R311" i="1"/>
  <c r="R336" i="1"/>
  <c r="R326" i="1"/>
  <c r="D22" i="6"/>
  <c r="R371" i="1"/>
  <c r="O120" i="33"/>
  <c r="R124" i="1"/>
  <c r="O41" i="33"/>
  <c r="U120" i="34"/>
  <c r="R119" i="1"/>
  <c r="R114" i="1"/>
  <c r="R144" i="1"/>
  <c r="R202" i="1"/>
  <c r="P121" i="1"/>
  <c r="D58" i="36"/>
  <c r="E58" i="36" s="1"/>
  <c r="U151" i="34"/>
  <c r="U150" i="34" s="1"/>
  <c r="O150" i="33"/>
  <c r="O149" i="33" s="1"/>
  <c r="D20" i="6"/>
  <c r="R270" i="1"/>
  <c r="F275" i="1"/>
  <c r="G275" i="1" s="1"/>
  <c r="R265" i="1"/>
  <c r="R275" i="1"/>
  <c r="R234" i="1"/>
  <c r="U75" i="34"/>
  <c r="O380" i="1"/>
  <c r="O381" i="1"/>
  <c r="O379" i="1"/>
  <c r="R177" i="1"/>
  <c r="P374" i="1"/>
  <c r="D194" i="36"/>
  <c r="E194" i="36" s="1"/>
  <c r="U93" i="34"/>
  <c r="O93" i="33"/>
  <c r="R294" i="1"/>
  <c r="D21" i="6"/>
  <c r="R289" i="1"/>
  <c r="Q30" i="33"/>
  <c r="R192" i="1"/>
  <c r="D12" i="6"/>
  <c r="R182" i="1"/>
  <c r="O17" i="33"/>
  <c r="R331" i="1"/>
  <c r="D17" i="6"/>
  <c r="R20" i="1"/>
  <c r="U124" i="34"/>
  <c r="U123" i="34" s="1"/>
  <c r="U42" i="34"/>
  <c r="U8" i="34"/>
  <c r="U5" i="34" s="1"/>
  <c r="U10" i="34"/>
  <c r="U101" i="34"/>
  <c r="R351" i="1"/>
  <c r="P169" i="1"/>
  <c r="P349" i="1"/>
  <c r="P354" i="1"/>
  <c r="P400" i="1"/>
  <c r="P415" i="1"/>
  <c r="P464" i="1"/>
  <c r="P474" i="1"/>
  <c r="P484" i="1"/>
  <c r="P489" i="1"/>
  <c r="Q168" i="33"/>
  <c r="Q155" i="33"/>
  <c r="E64" i="36"/>
  <c r="Q82" i="33"/>
  <c r="P94" i="1"/>
  <c r="P122" i="1"/>
  <c r="P142" i="1"/>
  <c r="P199" i="1"/>
  <c r="P391" i="1"/>
  <c r="P560" i="1"/>
  <c r="E141" i="36"/>
  <c r="E11" i="36"/>
  <c r="E20" i="36"/>
  <c r="E32" i="36"/>
  <c r="E38" i="36"/>
  <c r="E53" i="36"/>
  <c r="E98" i="36"/>
  <c r="E149" i="36"/>
  <c r="E155" i="36"/>
  <c r="E161" i="36"/>
  <c r="E167" i="36"/>
  <c r="E179" i="36"/>
  <c r="R149" i="1"/>
  <c r="P170" i="1"/>
  <c r="P348" i="1"/>
  <c r="P353" i="1"/>
  <c r="P395" i="1"/>
  <c r="P401" i="1"/>
  <c r="P416" i="1"/>
  <c r="P469" i="1"/>
  <c r="P479" i="1"/>
  <c r="O25" i="33"/>
  <c r="P86" i="1"/>
  <c r="E65" i="36"/>
  <c r="E164" i="36"/>
  <c r="Y70" i="34"/>
  <c r="V70" i="34" s="1"/>
  <c r="R107" i="33"/>
  <c r="S46" i="33"/>
  <c r="R46" i="33" s="1"/>
  <c r="V32" i="34"/>
  <c r="E296" i="36"/>
  <c r="E231" i="36"/>
  <c r="E214" i="36"/>
  <c r="E215" i="36"/>
  <c r="E205" i="36"/>
  <c r="E177" i="36"/>
  <c r="E184" i="36"/>
  <c r="E165" i="36"/>
  <c r="E134" i="36"/>
  <c r="E123" i="36"/>
  <c r="E94" i="36"/>
  <c r="E86" i="36"/>
  <c r="E85" i="36"/>
  <c r="E82" i="36"/>
  <c r="E79" i="36"/>
  <c r="E43" i="36"/>
  <c r="E40" i="36"/>
  <c r="E37" i="36"/>
  <c r="E26" i="36"/>
  <c r="E17" i="36"/>
  <c r="W97" i="34"/>
  <c r="W49" i="34"/>
  <c r="S39" i="33"/>
  <c r="P39" i="33" s="1"/>
  <c r="Y39" i="34"/>
  <c r="S16" i="33"/>
  <c r="P16" i="33" s="1"/>
  <c r="Y16" i="34"/>
  <c r="V16" i="34" s="1"/>
  <c r="S76" i="33"/>
  <c r="R76" i="33" s="1"/>
  <c r="Y76" i="34"/>
  <c r="Q14" i="33"/>
  <c r="W87" i="34"/>
  <c r="Q97" i="33"/>
  <c r="Q25" i="33"/>
  <c r="S171" i="33"/>
  <c r="P171" i="33" s="1"/>
  <c r="Q49" i="33"/>
  <c r="Q162" i="33"/>
  <c r="E77" i="36"/>
  <c r="E96" i="36"/>
  <c r="E36" i="36"/>
  <c r="S150" i="33"/>
  <c r="R150" i="33" s="1"/>
  <c r="R149" i="33" s="1"/>
  <c r="E116" i="36"/>
  <c r="E51" i="36"/>
  <c r="E44" i="36"/>
  <c r="E83" i="36"/>
  <c r="W169" i="34"/>
  <c r="Q138" i="33"/>
  <c r="V127" i="34"/>
  <c r="V126" i="34" s="1"/>
  <c r="Q119" i="33"/>
  <c r="Q44" i="33"/>
  <c r="W10" i="34"/>
  <c r="Q78" i="33"/>
  <c r="Q146" i="33"/>
  <c r="Q173" i="33"/>
  <c r="Q69" i="33"/>
  <c r="E297" i="36"/>
  <c r="E299" i="36"/>
  <c r="N285" i="1"/>
  <c r="E151" i="4" s="1"/>
  <c r="W166" i="34"/>
  <c r="Y107" i="34"/>
  <c r="O155" i="33"/>
  <c r="O181" i="33"/>
  <c r="E10" i="36"/>
  <c r="E13" i="36"/>
  <c r="E16" i="36"/>
  <c r="E19" i="36"/>
  <c r="E25" i="36"/>
  <c r="E31" i="36"/>
  <c r="E101" i="36"/>
  <c r="E109" i="36"/>
  <c r="E139" i="36"/>
  <c r="E190" i="36"/>
  <c r="E220" i="36"/>
  <c r="E232" i="36"/>
  <c r="E245" i="36"/>
  <c r="E248" i="36"/>
  <c r="E251" i="36"/>
  <c r="W58" i="34"/>
  <c r="Q129" i="33"/>
  <c r="O168" i="33"/>
  <c r="E206" i="36"/>
  <c r="W139" i="34"/>
  <c r="W25" i="34"/>
  <c r="W5" i="34"/>
  <c r="Q35" i="33"/>
  <c r="Q10" i="33"/>
  <c r="W30" i="34"/>
  <c r="W35" i="34"/>
  <c r="Q58" i="33"/>
  <c r="Q5" i="33"/>
  <c r="Q55" i="33"/>
  <c r="W44" i="34"/>
  <c r="Q152" i="33"/>
  <c r="W156" i="34"/>
  <c r="W69" i="34"/>
  <c r="W182" i="34"/>
  <c r="Q74" i="33"/>
  <c r="W130" i="34"/>
  <c r="Q181" i="33"/>
  <c r="W174" i="34"/>
  <c r="P70" i="33"/>
  <c r="R70" i="33"/>
  <c r="S33" i="33"/>
  <c r="E14" i="36"/>
  <c r="E12" i="36"/>
  <c r="E23" i="36"/>
  <c r="E22" i="36"/>
  <c r="E21" i="36"/>
  <c r="E27" i="36"/>
  <c r="E28" i="36"/>
  <c r="E29" i="36"/>
  <c r="E105" i="36"/>
  <c r="E107" i="36"/>
  <c r="E128" i="36"/>
  <c r="E126" i="36"/>
  <c r="E145" i="36"/>
  <c r="E146" i="36"/>
  <c r="E152" i="36"/>
  <c r="E151" i="36"/>
  <c r="E150" i="36"/>
  <c r="E156" i="36"/>
  <c r="E158" i="36"/>
  <c r="E174" i="36"/>
  <c r="E176" i="36"/>
  <c r="E218" i="36"/>
  <c r="E217" i="36"/>
  <c r="E224" i="36"/>
  <c r="E223" i="36"/>
  <c r="E230" i="36"/>
  <c r="E229" i="36"/>
  <c r="E228" i="36"/>
  <c r="E235" i="36"/>
  <c r="E234" i="36"/>
  <c r="E162" i="36"/>
  <c r="E144" i="36"/>
  <c r="E170" i="36"/>
  <c r="U130" i="34"/>
  <c r="U156" i="34"/>
  <c r="U169" i="34"/>
  <c r="U174" i="34"/>
  <c r="O69" i="33"/>
  <c r="O129" i="33"/>
  <c r="O173" i="33"/>
  <c r="U69" i="34"/>
  <c r="U182" i="34"/>
  <c r="E4" i="36"/>
  <c r="W74" i="34"/>
  <c r="Y151" i="34"/>
  <c r="E7" i="36"/>
  <c r="E6" i="36"/>
  <c r="E8" i="36"/>
  <c r="E35" i="36"/>
  <c r="E34" i="36"/>
  <c r="E41" i="36"/>
  <c r="E39" i="36"/>
  <c r="E47" i="36"/>
  <c r="E45" i="36"/>
  <c r="E55" i="36"/>
  <c r="E54" i="36"/>
  <c r="E61" i="36"/>
  <c r="E62" i="36"/>
  <c r="E66" i="36"/>
  <c r="E67" i="36"/>
  <c r="E68" i="36"/>
  <c r="E73" i="36"/>
  <c r="E74" i="36"/>
  <c r="E80" i="36"/>
  <c r="E78" i="36"/>
  <c r="E91" i="36"/>
  <c r="E90" i="36"/>
  <c r="E93" i="36"/>
  <c r="E95" i="36"/>
  <c r="E113" i="36"/>
  <c r="E111" i="36"/>
  <c r="E119" i="36"/>
  <c r="E117" i="36"/>
  <c r="E239" i="36"/>
  <c r="E238" i="36"/>
  <c r="Y154" i="34" l="1"/>
  <c r="Y153" i="34" s="1"/>
  <c r="Y12" i="34"/>
  <c r="S132" i="33"/>
  <c r="S12" i="33"/>
  <c r="P12" i="33" s="1"/>
  <c r="Y135" i="34"/>
  <c r="V135" i="34" s="1"/>
  <c r="Y133" i="34"/>
  <c r="V133" i="34" s="1"/>
  <c r="Y157" i="34"/>
  <c r="S156" i="33"/>
  <c r="R156" i="33" s="1"/>
  <c r="R153" i="33"/>
  <c r="R152" i="33" s="1"/>
  <c r="S37" i="33"/>
  <c r="P37" i="33" s="1"/>
  <c r="S104" i="33"/>
  <c r="P104" i="33" s="1"/>
  <c r="S36" i="33"/>
  <c r="P36" i="33" s="1"/>
  <c r="S157" i="33"/>
  <c r="R157" i="33" s="1"/>
  <c r="X104" i="34"/>
  <c r="F98" i="4"/>
  <c r="F97" i="4"/>
  <c r="Y33" i="34"/>
  <c r="V33" i="34" s="1"/>
  <c r="V158" i="34"/>
  <c r="F198" i="4"/>
  <c r="F197" i="4"/>
  <c r="F94" i="4"/>
  <c r="F93" i="4"/>
  <c r="F201" i="4"/>
  <c r="F203" i="4"/>
  <c r="F202" i="4"/>
  <c r="F200" i="4"/>
  <c r="V172" i="34"/>
  <c r="Y80" i="34"/>
  <c r="V80" i="34" s="1"/>
  <c r="V95" i="34"/>
  <c r="R134" i="33"/>
  <c r="F28" i="4"/>
  <c r="F25" i="4"/>
  <c r="F20" i="4"/>
  <c r="F21" i="4"/>
  <c r="F29" i="4"/>
  <c r="F24" i="4"/>
  <c r="F26" i="4"/>
  <c r="F22" i="4"/>
  <c r="F23" i="4"/>
  <c r="F27" i="4"/>
  <c r="X127" i="34"/>
  <c r="X126" i="34" s="1"/>
  <c r="V46" i="34"/>
  <c r="Y36" i="34"/>
  <c r="Y37" i="34"/>
  <c r="V37" i="34" s="1"/>
  <c r="S127" i="33"/>
  <c r="S126" i="33" s="1"/>
  <c r="F140" i="4"/>
  <c r="F139" i="4"/>
  <c r="P88" i="33"/>
  <c r="S8" i="33"/>
  <c r="R8" i="33" s="1"/>
  <c r="Y99" i="34"/>
  <c r="X99" i="34" s="1"/>
  <c r="Y93" i="34"/>
  <c r="X93" i="34" s="1"/>
  <c r="S93" i="33"/>
  <c r="R93" i="33" s="1"/>
  <c r="U74" i="34"/>
  <c r="E176" i="4"/>
  <c r="S111" i="33"/>
  <c r="P111" i="33" s="1"/>
  <c r="E171" i="4"/>
  <c r="Q148" i="33"/>
  <c r="E326" i="33" s="1"/>
  <c r="W115" i="34"/>
  <c r="E325" i="34" s="1"/>
  <c r="W149" i="34"/>
  <c r="E327" i="34" s="1"/>
  <c r="Q115" i="33"/>
  <c r="E324" i="33" s="1"/>
  <c r="Y42" i="34"/>
  <c r="V42" i="34" s="1"/>
  <c r="S67" i="33"/>
  <c r="P67" i="33" s="1"/>
  <c r="U149" i="34"/>
  <c r="C327" i="34" s="1"/>
  <c r="V170" i="34"/>
  <c r="S169" i="33"/>
  <c r="P169" i="33" s="1"/>
  <c r="P110" i="33"/>
  <c r="Y120" i="34"/>
  <c r="X120" i="34" s="1"/>
  <c r="S53" i="33"/>
  <c r="P53" i="33" s="1"/>
  <c r="S140" i="33"/>
  <c r="P140" i="33" s="1"/>
  <c r="Y56" i="34"/>
  <c r="V56" i="34" s="1"/>
  <c r="V55" i="34" s="1"/>
  <c r="R174" i="33"/>
  <c r="X141" i="34"/>
  <c r="U14" i="34"/>
  <c r="U4" i="34" s="1"/>
  <c r="C319" i="34" s="1"/>
  <c r="U30" i="34"/>
  <c r="U35" i="34"/>
  <c r="V107" i="34"/>
  <c r="U82" i="34"/>
  <c r="O82" i="33"/>
  <c r="O14" i="33"/>
  <c r="O4" i="33" s="1"/>
  <c r="C318" i="33" s="1"/>
  <c r="O30" i="33"/>
  <c r="O138" i="33"/>
  <c r="P158" i="33"/>
  <c r="O35" i="33"/>
  <c r="E192" i="4"/>
  <c r="E131" i="4"/>
  <c r="Y83" i="34"/>
  <c r="V83" i="34" s="1"/>
  <c r="E64" i="4"/>
  <c r="E193" i="4"/>
  <c r="E112" i="4"/>
  <c r="S83" i="33"/>
  <c r="P83" i="33" s="1"/>
  <c r="E39" i="4"/>
  <c r="E17" i="4"/>
  <c r="E212" i="4"/>
  <c r="E51" i="4"/>
  <c r="E52" i="4" s="1"/>
  <c r="E218" i="4"/>
  <c r="E210" i="4"/>
  <c r="E40" i="4"/>
  <c r="E175" i="4"/>
  <c r="E46" i="4"/>
  <c r="E111" i="4"/>
  <c r="E164" i="4"/>
  <c r="E118" i="4"/>
  <c r="E132" i="4"/>
  <c r="E67" i="4"/>
  <c r="R461" i="1"/>
  <c r="S563" i="1" s="1"/>
  <c r="T563" i="1" s="1"/>
  <c r="P144" i="33"/>
  <c r="V102" i="34"/>
  <c r="P99" i="33"/>
  <c r="P8" i="33"/>
  <c r="Y7" i="34"/>
  <c r="V7" i="34" s="1"/>
  <c r="S55" i="33"/>
  <c r="P60" i="33"/>
  <c r="S45" i="33"/>
  <c r="R45" i="33" s="1"/>
  <c r="Y40" i="34"/>
  <c r="X40" i="34" s="1"/>
  <c r="P61" i="33"/>
  <c r="V164" i="34"/>
  <c r="V163" i="34" s="1"/>
  <c r="V67" i="34"/>
  <c r="S108" i="33"/>
  <c r="R108" i="33" s="1"/>
  <c r="R63" i="33"/>
  <c r="Y11" i="34"/>
  <c r="V11" i="34" s="1"/>
  <c r="Y132" i="34"/>
  <c r="X132" i="34" s="1"/>
  <c r="R142" i="33"/>
  <c r="R51" i="33"/>
  <c r="V186" i="34"/>
  <c r="P11" i="33"/>
  <c r="Y144" i="34"/>
  <c r="X144" i="34" s="1"/>
  <c r="X106" i="34"/>
  <c r="S7" i="33"/>
  <c r="P7" i="33" s="1"/>
  <c r="S124" i="33"/>
  <c r="R124" i="33" s="1"/>
  <c r="R123" i="33" s="1"/>
  <c r="R99" i="33"/>
  <c r="R179" i="33"/>
  <c r="Y20" i="34"/>
  <c r="X20" i="34" s="1"/>
  <c r="X19" i="34" s="1"/>
  <c r="V124" i="34"/>
  <c r="V123" i="34" s="1"/>
  <c r="S170" i="33"/>
  <c r="P170" i="33" s="1"/>
  <c r="Y23" i="34"/>
  <c r="Y22" i="34" s="1"/>
  <c r="Y52" i="34"/>
  <c r="V52" i="34" s="1"/>
  <c r="Y89" i="34"/>
  <c r="X89" i="34" s="1"/>
  <c r="R133" i="33"/>
  <c r="Y175" i="34"/>
  <c r="V175" i="34" s="1"/>
  <c r="S23" i="33"/>
  <c r="P23" i="33" s="1"/>
  <c r="P22" i="33" s="1"/>
  <c r="Y183" i="34"/>
  <c r="V183" i="34" s="1"/>
  <c r="P41" i="33"/>
  <c r="R27" i="33"/>
  <c r="S26" i="33"/>
  <c r="R26" i="33" s="1"/>
  <c r="S177" i="33"/>
  <c r="P177" i="33" s="1"/>
  <c r="R135" i="33"/>
  <c r="Y167" i="34"/>
  <c r="X167" i="34" s="1"/>
  <c r="P166" i="33"/>
  <c r="P165" i="33" s="1"/>
  <c r="Y75" i="34"/>
  <c r="V75" i="34" s="1"/>
  <c r="Y180" i="34"/>
  <c r="V180" i="34" s="1"/>
  <c r="S20" i="33"/>
  <c r="R20" i="33" s="1"/>
  <c r="R19" i="33" s="1"/>
  <c r="S136" i="33"/>
  <c r="P136" i="33" s="1"/>
  <c r="P75" i="33"/>
  <c r="Y136" i="34"/>
  <c r="V136" i="34" s="1"/>
  <c r="Y142" i="34"/>
  <c r="X142" i="34" s="1"/>
  <c r="S17" i="33"/>
  <c r="P17" i="33" s="1"/>
  <c r="Y38" i="34"/>
  <c r="V38" i="34" s="1"/>
  <c r="X124" i="34"/>
  <c r="X123" i="34" s="1"/>
  <c r="Y84" i="34"/>
  <c r="V84" i="34" s="1"/>
  <c r="S89" i="33"/>
  <c r="R89" i="33" s="1"/>
  <c r="S50" i="33"/>
  <c r="R50" i="33" s="1"/>
  <c r="Y72" i="34"/>
  <c r="V72" i="34" s="1"/>
  <c r="Y137" i="34"/>
  <c r="V137" i="34" s="1"/>
  <c r="S117" i="33"/>
  <c r="R117" i="33" s="1"/>
  <c r="R116" i="33" s="1"/>
  <c r="Y134" i="34"/>
  <c r="V134" i="34" s="1"/>
  <c r="Y131" i="34"/>
  <c r="V131" i="34" s="1"/>
  <c r="Y159" i="34"/>
  <c r="V159" i="34" s="1"/>
  <c r="S120" i="33"/>
  <c r="P120" i="33" s="1"/>
  <c r="P66" i="33"/>
  <c r="Y101" i="34"/>
  <c r="X101" i="34" s="1"/>
  <c r="R166" i="33"/>
  <c r="R165" i="33" s="1"/>
  <c r="V64" i="34"/>
  <c r="S6" i="33"/>
  <c r="P6" i="33" s="1"/>
  <c r="Y117" i="34"/>
  <c r="Y116" i="34" s="1"/>
  <c r="S141" i="33"/>
  <c r="P141" i="33" s="1"/>
  <c r="S30" i="33"/>
  <c r="Y171" i="34"/>
  <c r="V171" i="34" s="1"/>
  <c r="Y178" i="34"/>
  <c r="X178" i="34" s="1"/>
  <c r="Y17" i="34"/>
  <c r="V17" i="34" s="1"/>
  <c r="S38" i="33"/>
  <c r="P38" i="33" s="1"/>
  <c r="S52" i="33"/>
  <c r="P52" i="33" s="1"/>
  <c r="S84" i="33"/>
  <c r="R84" i="33" s="1"/>
  <c r="S71" i="33"/>
  <c r="P71" i="33" s="1"/>
  <c r="S182" i="33"/>
  <c r="R182" i="33" s="1"/>
  <c r="Y50" i="34"/>
  <c r="X50" i="34" s="1"/>
  <c r="S72" i="33"/>
  <c r="P72" i="33" s="1"/>
  <c r="R31" i="33"/>
  <c r="Y145" i="34"/>
  <c r="X145" i="34" s="1"/>
  <c r="Y110" i="34"/>
  <c r="V110" i="34" s="1"/>
  <c r="Y31" i="34"/>
  <c r="V31" i="34" s="1"/>
  <c r="Y6" i="34"/>
  <c r="V6" i="34" s="1"/>
  <c r="Y41" i="34"/>
  <c r="V41" i="34" s="1"/>
  <c r="Y61" i="34"/>
  <c r="X61" i="34" s="1"/>
  <c r="P159" i="33"/>
  <c r="P178" i="33"/>
  <c r="S175" i="33"/>
  <c r="P175" i="33" s="1"/>
  <c r="X176" i="34"/>
  <c r="R62" i="33"/>
  <c r="Y59" i="34"/>
  <c r="V59" i="34" s="1"/>
  <c r="R56" i="33"/>
  <c r="R55" i="33" s="1"/>
  <c r="Y160" i="34"/>
  <c r="V160" i="34" s="1"/>
  <c r="Y161" i="34"/>
  <c r="V161" i="34" s="1"/>
  <c r="S40" i="33"/>
  <c r="P40" i="33" s="1"/>
  <c r="S42" i="33"/>
  <c r="R42" i="33" s="1"/>
  <c r="Y85" i="34"/>
  <c r="V85" i="34" s="1"/>
  <c r="R85" i="33"/>
  <c r="Y121" i="34"/>
  <c r="V121" i="34" s="1"/>
  <c r="Y179" i="34"/>
  <c r="V179" i="34" s="1"/>
  <c r="S98" i="33"/>
  <c r="P98" i="33" s="1"/>
  <c r="R139" i="33"/>
  <c r="V98" i="34"/>
  <c r="P121" i="33"/>
  <c r="Y140" i="34"/>
  <c r="V140" i="34" s="1"/>
  <c r="Y53" i="34"/>
  <c r="V53" i="34" s="1"/>
  <c r="S59" i="33"/>
  <c r="R59" i="33" s="1"/>
  <c r="Y45" i="34"/>
  <c r="V45" i="34" s="1"/>
  <c r="S160" i="33"/>
  <c r="P160" i="33" s="1"/>
  <c r="Y62" i="34"/>
  <c r="V62" i="34" s="1"/>
  <c r="R105" i="33"/>
  <c r="Y105" i="34"/>
  <c r="V105" i="34" s="1"/>
  <c r="S163" i="33"/>
  <c r="R163" i="33" s="1"/>
  <c r="Y60" i="34"/>
  <c r="V60" i="34" s="1"/>
  <c r="R184" i="33"/>
  <c r="Y185" i="34"/>
  <c r="V185" i="34" s="1"/>
  <c r="Y26" i="34"/>
  <c r="X26" i="34" s="1"/>
  <c r="Y66" i="34"/>
  <c r="V66" i="34" s="1"/>
  <c r="R130" i="33"/>
  <c r="S64" i="33"/>
  <c r="P64" i="33" s="1"/>
  <c r="X100" i="34"/>
  <c r="Y27" i="34"/>
  <c r="V27" i="34" s="1"/>
  <c r="P109" i="33"/>
  <c r="S101" i="33"/>
  <c r="R101" i="33" s="1"/>
  <c r="S100" i="33"/>
  <c r="P100" i="33" s="1"/>
  <c r="Y71" i="34"/>
  <c r="V71" i="34" s="1"/>
  <c r="Y109" i="34"/>
  <c r="V109" i="34" s="1"/>
  <c r="S102" i="33"/>
  <c r="P102" i="33" s="1"/>
  <c r="Y111" i="34"/>
  <c r="V111" i="34" s="1"/>
  <c r="S131" i="33"/>
  <c r="R131" i="33" s="1"/>
  <c r="Y79" i="34"/>
  <c r="V79" i="34" s="1"/>
  <c r="S146" i="33"/>
  <c r="Y15" i="34"/>
  <c r="Y112" i="34"/>
  <c r="X112" i="34" s="1"/>
  <c r="R176" i="33"/>
  <c r="S65" i="33"/>
  <c r="P65" i="33" s="1"/>
  <c r="Y103" i="34"/>
  <c r="V103" i="34" s="1"/>
  <c r="Y184" i="34"/>
  <c r="V184" i="34" s="1"/>
  <c r="S79" i="33"/>
  <c r="P79" i="33" s="1"/>
  <c r="P78" i="33" s="1"/>
  <c r="X65" i="34"/>
  <c r="R88" i="33"/>
  <c r="Y63" i="34"/>
  <c r="V63" i="34" s="1"/>
  <c r="Y177" i="34"/>
  <c r="V177" i="34" s="1"/>
  <c r="Y108" i="34"/>
  <c r="X108" i="34" s="1"/>
  <c r="S112" i="33"/>
  <c r="R112" i="33" s="1"/>
  <c r="Y143" i="34"/>
  <c r="V143" i="34" s="1"/>
  <c r="S103" i="33"/>
  <c r="P103" i="33" s="1"/>
  <c r="S183" i="33"/>
  <c r="P183" i="33" s="1"/>
  <c r="P147" i="33"/>
  <c r="P146" i="33" s="1"/>
  <c r="Y148" i="34"/>
  <c r="Y147" i="34" s="1"/>
  <c r="S15" i="33"/>
  <c r="P15" i="33" s="1"/>
  <c r="S143" i="33"/>
  <c r="P143" i="33" s="1"/>
  <c r="Y51" i="34"/>
  <c r="V51" i="34" s="1"/>
  <c r="S185" i="33"/>
  <c r="P185" i="33" s="1"/>
  <c r="X102" i="34"/>
  <c r="Y88" i="34"/>
  <c r="V88" i="34" s="1"/>
  <c r="S106" i="33"/>
  <c r="P106" i="33" s="1"/>
  <c r="P95" i="33"/>
  <c r="O58" i="33"/>
  <c r="U58" i="34"/>
  <c r="O162" i="33"/>
  <c r="O148" i="33" s="1"/>
  <c r="P94" i="33"/>
  <c r="P92" i="33"/>
  <c r="V76" i="34"/>
  <c r="X16" i="34"/>
  <c r="O49" i="33"/>
  <c r="U139" i="34"/>
  <c r="P93" i="33"/>
  <c r="U44" i="34"/>
  <c r="P153" i="33"/>
  <c r="P152" i="33" s="1"/>
  <c r="V8" i="34"/>
  <c r="R3" i="1"/>
  <c r="S30" i="1" s="1"/>
  <c r="T30" i="1" s="1"/>
  <c r="O119" i="33"/>
  <c r="O97" i="33"/>
  <c r="V94" i="34"/>
  <c r="U97" i="34"/>
  <c r="R90" i="1"/>
  <c r="R166" i="1"/>
  <c r="R377" i="1"/>
  <c r="U119" i="34"/>
  <c r="W48" i="34"/>
  <c r="E323" i="34" s="1"/>
  <c r="X92" i="34"/>
  <c r="W4" i="34"/>
  <c r="E319" i="34" s="1"/>
  <c r="Q29" i="33"/>
  <c r="E320" i="33" s="1"/>
  <c r="P381" i="1"/>
  <c r="P379" i="1"/>
  <c r="P380" i="1"/>
  <c r="D195" i="36"/>
  <c r="D197" i="36"/>
  <c r="D196" i="36"/>
  <c r="P46" i="33"/>
  <c r="R39" i="33"/>
  <c r="X70" i="34"/>
  <c r="V154" i="34"/>
  <c r="V153" i="34" s="1"/>
  <c r="X154" i="34"/>
  <c r="X153" i="34" s="1"/>
  <c r="X133" i="34"/>
  <c r="Y163" i="34"/>
  <c r="X135" i="34"/>
  <c r="R74" i="33"/>
  <c r="R171" i="33"/>
  <c r="X76" i="34"/>
  <c r="S74" i="33"/>
  <c r="Q4" i="33"/>
  <c r="E318" i="33" s="1"/>
  <c r="S149" i="33"/>
  <c r="P150" i="33"/>
  <c r="P149" i="33" s="1"/>
  <c r="V157" i="34"/>
  <c r="X157" i="34"/>
  <c r="V39" i="34"/>
  <c r="X39" i="34"/>
  <c r="X8" i="34"/>
  <c r="P76" i="33"/>
  <c r="P156" i="33"/>
  <c r="R16" i="33"/>
  <c r="X107" i="34"/>
  <c r="P132" i="33"/>
  <c r="R132" i="33"/>
  <c r="S10" i="33"/>
  <c r="V36" i="34"/>
  <c r="X36" i="34"/>
  <c r="Q48" i="33"/>
  <c r="E322" i="33" s="1"/>
  <c r="W29" i="34"/>
  <c r="E321" i="34" s="1"/>
  <c r="R33" i="33"/>
  <c r="P33" i="33"/>
  <c r="P30" i="33" s="1"/>
  <c r="X12" i="34"/>
  <c r="V12" i="34"/>
  <c r="V151" i="34"/>
  <c r="V150" i="34" s="1"/>
  <c r="Y150" i="34"/>
  <c r="X151" i="34"/>
  <c r="X150" i="34" s="1"/>
  <c r="R12" i="33" l="1"/>
  <c r="R10" i="33" s="1"/>
  <c r="X80" i="34"/>
  <c r="V78" i="34"/>
  <c r="R37" i="33"/>
  <c r="V99" i="34"/>
  <c r="R36" i="33"/>
  <c r="P127" i="33"/>
  <c r="P126" i="33" s="1"/>
  <c r="V44" i="34"/>
  <c r="X33" i="34"/>
  <c r="X37" i="34"/>
  <c r="R127" i="33"/>
  <c r="R126" i="33" s="1"/>
  <c r="P157" i="33"/>
  <c r="P155" i="33" s="1"/>
  <c r="R104" i="33"/>
  <c r="S429" i="1"/>
  <c r="T429" i="1" s="1"/>
  <c r="U432" i="1" s="1"/>
  <c r="S124" i="1"/>
  <c r="T124" i="1" s="1"/>
  <c r="R111" i="33"/>
  <c r="R87" i="33"/>
  <c r="O48" i="33"/>
  <c r="C322" i="33" s="1"/>
  <c r="S87" i="33"/>
  <c r="V120" i="34"/>
  <c r="V119" i="34" s="1"/>
  <c r="V93" i="34"/>
  <c r="V91" i="34" s="1"/>
  <c r="R169" i="33"/>
  <c r="X42" i="34"/>
  <c r="R140" i="33"/>
  <c r="P168" i="33"/>
  <c r="S548" i="1"/>
  <c r="T548" i="1" s="1"/>
  <c r="U551" i="1" s="1"/>
  <c r="O29" i="33"/>
  <c r="C320" i="33" s="1"/>
  <c r="V169" i="34"/>
  <c r="R83" i="33"/>
  <c r="R82" i="33" s="1"/>
  <c r="R53" i="33"/>
  <c r="X56" i="34"/>
  <c r="X55" i="34" s="1"/>
  <c r="P108" i="33"/>
  <c r="O115" i="33"/>
  <c r="C324" i="33" s="1"/>
  <c r="R67" i="33"/>
  <c r="U115" i="34"/>
  <c r="C325" i="34" s="1"/>
  <c r="S123" i="33"/>
  <c r="E196" i="36"/>
  <c r="E195" i="36"/>
  <c r="E197" i="36"/>
  <c r="Y55" i="34"/>
  <c r="Y14" i="34"/>
  <c r="U29" i="34"/>
  <c r="C321" i="34" s="1"/>
  <c r="U48" i="34"/>
  <c r="C323" i="34" s="1"/>
  <c r="X23" i="34"/>
  <c r="X22" i="34" s="1"/>
  <c r="P59" i="33"/>
  <c r="P58" i="33" s="1"/>
  <c r="X83" i="34"/>
  <c r="V101" i="34"/>
  <c r="X7" i="34"/>
  <c r="R170" i="33"/>
  <c r="V40" i="34"/>
  <c r="V35" i="34" s="1"/>
  <c r="P163" i="33"/>
  <c r="P162" i="33" s="1"/>
  <c r="V117" i="34"/>
  <c r="V116" i="34" s="1"/>
  <c r="V30" i="34"/>
  <c r="V144" i="34"/>
  <c r="Y156" i="34"/>
  <c r="Y10" i="34"/>
  <c r="X11" i="34"/>
  <c r="X10" i="34" s="1"/>
  <c r="S487" i="1"/>
  <c r="T487" i="1" s="1"/>
  <c r="U489" i="1" s="1"/>
  <c r="S537" i="1"/>
  <c r="T537" i="1" s="1"/>
  <c r="U540" i="1" s="1"/>
  <c r="S455" i="1"/>
  <c r="T455" i="1" s="1"/>
  <c r="U456" i="1" s="1"/>
  <c r="S558" i="1"/>
  <c r="T558" i="1" s="1"/>
  <c r="U559" i="1" s="1"/>
  <c r="S522" i="1"/>
  <c r="T522" i="1" s="1"/>
  <c r="U524" i="1" s="1"/>
  <c r="S472" i="1"/>
  <c r="T472" i="1" s="1"/>
  <c r="U473" i="1" s="1"/>
  <c r="S467" i="1"/>
  <c r="T467" i="1" s="1"/>
  <c r="U470" i="1" s="1"/>
  <c r="S482" i="1"/>
  <c r="T482" i="1" s="1"/>
  <c r="U483" i="1" s="1"/>
  <c r="S502" i="1"/>
  <c r="T502" i="1" s="1"/>
  <c r="U503" i="1" s="1"/>
  <c r="S497" i="1"/>
  <c r="T497" i="1" s="1"/>
  <c r="U499" i="1" s="1"/>
  <c r="S542" i="1"/>
  <c r="T542" i="1" s="1"/>
  <c r="U544" i="1" s="1"/>
  <c r="S492" i="1"/>
  <c r="T492" i="1" s="1"/>
  <c r="U493" i="1" s="1"/>
  <c r="S553" i="1"/>
  <c r="T553" i="1" s="1"/>
  <c r="U556" i="1" s="1"/>
  <c r="S507" i="1"/>
  <c r="T507" i="1" s="1"/>
  <c r="U508" i="1" s="1"/>
  <c r="S512" i="1"/>
  <c r="T512" i="1" s="1"/>
  <c r="U513" i="1" s="1"/>
  <c r="S477" i="1"/>
  <c r="T477" i="1" s="1"/>
  <c r="U478" i="1" s="1"/>
  <c r="S527" i="1"/>
  <c r="T527" i="1" s="1"/>
  <c r="U530" i="1" s="1"/>
  <c r="S532" i="1"/>
  <c r="T532" i="1" s="1"/>
  <c r="U535" i="1" s="1"/>
  <c r="S517" i="1"/>
  <c r="T517" i="1" s="1"/>
  <c r="U520" i="1" s="1"/>
  <c r="S462" i="1"/>
  <c r="T462" i="1" s="1"/>
  <c r="U464" i="1" s="1"/>
  <c r="S321" i="1"/>
  <c r="T321" i="1" s="1"/>
  <c r="U322" i="1" s="1"/>
  <c r="S300" i="1"/>
  <c r="T300" i="1" s="1"/>
  <c r="U301" i="1" s="1"/>
  <c r="S255" i="1"/>
  <c r="T255" i="1" s="1"/>
  <c r="U257" i="1" s="1"/>
  <c r="S331" i="1"/>
  <c r="T331" i="1" s="1"/>
  <c r="U334" i="1" s="1"/>
  <c r="S275" i="1"/>
  <c r="T275" i="1" s="1"/>
  <c r="S207" i="1"/>
  <c r="T207" i="1" s="1"/>
  <c r="U210" i="1" s="1"/>
  <c r="S326" i="1"/>
  <c r="T326" i="1" s="1"/>
  <c r="U329" i="1" s="1"/>
  <c r="S351" i="1"/>
  <c r="T351" i="1" s="1"/>
  <c r="U354" i="1" s="1"/>
  <c r="S182" i="1"/>
  <c r="T182" i="1" s="1"/>
  <c r="U184" i="1" s="1"/>
  <c r="S294" i="1"/>
  <c r="T294" i="1" s="1"/>
  <c r="U297" i="1" s="1"/>
  <c r="S244" i="1"/>
  <c r="T244" i="1" s="1"/>
  <c r="U245" i="1" s="1"/>
  <c r="S177" i="1"/>
  <c r="T177" i="1" s="1"/>
  <c r="U180" i="1" s="1"/>
  <c r="S192" i="1"/>
  <c r="T192" i="1" s="1"/>
  <c r="U194" i="1" s="1"/>
  <c r="S222" i="1"/>
  <c r="T222" i="1" s="1"/>
  <c r="U223" i="1" s="1"/>
  <c r="S346" i="1"/>
  <c r="T346" i="1" s="1"/>
  <c r="U348" i="1" s="1"/>
  <c r="S289" i="1"/>
  <c r="T289" i="1" s="1"/>
  <c r="U290" i="1" s="1"/>
  <c r="S306" i="1"/>
  <c r="T306" i="1" s="1"/>
  <c r="S217" i="1"/>
  <c r="T217" i="1" s="1"/>
  <c r="U219" i="1" s="1"/>
  <c r="S84" i="1"/>
  <c r="T84" i="1" s="1"/>
  <c r="U86" i="1" s="1"/>
  <c r="S40" i="1"/>
  <c r="T40" i="1" s="1"/>
  <c r="U41" i="1" s="1"/>
  <c r="S15" i="1"/>
  <c r="T15" i="1" s="1"/>
  <c r="U17" i="1" s="1"/>
  <c r="S73" i="1"/>
  <c r="T73" i="1" s="1"/>
  <c r="U74" i="1" s="1"/>
  <c r="P5" i="33"/>
  <c r="S4" i="1"/>
  <c r="T4" i="1" s="1"/>
  <c r="S20" i="1"/>
  <c r="T20" i="1" s="1"/>
  <c r="U21" i="1" s="1"/>
  <c r="S35" i="1"/>
  <c r="T35" i="1" s="1"/>
  <c r="U38" i="1" s="1"/>
  <c r="S45" i="1"/>
  <c r="T45" i="1" s="1"/>
  <c r="U46" i="1" s="1"/>
  <c r="S51" i="1"/>
  <c r="T51" i="1" s="1"/>
  <c r="U54" i="1" s="1"/>
  <c r="S10" i="1"/>
  <c r="T10" i="1" s="1"/>
  <c r="U13" i="1" s="1"/>
  <c r="S25" i="1"/>
  <c r="T25" i="1" s="1"/>
  <c r="U26" i="1" s="1"/>
  <c r="S58" i="1"/>
  <c r="T58" i="1" s="1"/>
  <c r="U60" i="1" s="1"/>
  <c r="S78" i="1"/>
  <c r="T78" i="1" s="1"/>
  <c r="U81" i="1" s="1"/>
  <c r="S63" i="1"/>
  <c r="T63" i="1" s="1"/>
  <c r="U65" i="1" s="1"/>
  <c r="S68" i="1"/>
  <c r="T68" i="1" s="1"/>
  <c r="U71" i="1" s="1"/>
  <c r="P45" i="33"/>
  <c r="P44" i="33" s="1"/>
  <c r="V10" i="34"/>
  <c r="S44" i="33"/>
  <c r="X179" i="34"/>
  <c r="Y74" i="34"/>
  <c r="X38" i="34"/>
  <c r="R7" i="33"/>
  <c r="R79" i="33"/>
  <c r="R78" i="33" s="1"/>
  <c r="P42" i="33"/>
  <c r="P35" i="33" s="1"/>
  <c r="V132" i="34"/>
  <c r="V130" i="34" s="1"/>
  <c r="R185" i="33"/>
  <c r="X105" i="34"/>
  <c r="R177" i="33"/>
  <c r="Y44" i="34"/>
  <c r="P10" i="33"/>
  <c r="X45" i="34"/>
  <c r="X44" i="34" s="1"/>
  <c r="V50" i="34"/>
  <c r="V49" i="34" s="1"/>
  <c r="X171" i="34"/>
  <c r="X169" i="34" s="1"/>
  <c r="S78" i="33"/>
  <c r="P50" i="33"/>
  <c r="P49" i="33" s="1"/>
  <c r="R6" i="33"/>
  <c r="Y169" i="34"/>
  <c r="X75" i="34"/>
  <c r="X74" i="34" s="1"/>
  <c r="R103" i="33"/>
  <c r="X183" i="34"/>
  <c r="X110" i="34"/>
  <c r="V89" i="34"/>
  <c r="V87" i="34" s="1"/>
  <c r="P124" i="33"/>
  <c r="P123" i="33" s="1"/>
  <c r="Y78" i="34"/>
  <c r="R52" i="33"/>
  <c r="X134" i="34"/>
  <c r="X177" i="34"/>
  <c r="V61" i="34"/>
  <c r="V58" i="34" s="1"/>
  <c r="V23" i="34"/>
  <c r="V22" i="34" s="1"/>
  <c r="P20" i="33"/>
  <c r="P19" i="33" s="1"/>
  <c r="P84" i="33"/>
  <c r="P82" i="33" s="1"/>
  <c r="X84" i="34"/>
  <c r="S49" i="33"/>
  <c r="S19" i="33"/>
  <c r="R65" i="33"/>
  <c r="X79" i="34"/>
  <c r="X78" i="34" s="1"/>
  <c r="X109" i="34"/>
  <c r="X175" i="34"/>
  <c r="X31" i="34"/>
  <c r="V69" i="34"/>
  <c r="R25" i="33"/>
  <c r="P119" i="33"/>
  <c r="V108" i="34"/>
  <c r="S5" i="33"/>
  <c r="S25" i="33"/>
  <c r="R175" i="33"/>
  <c r="V20" i="34"/>
  <c r="V19" i="34" s="1"/>
  <c r="X59" i="34"/>
  <c r="R17" i="33"/>
  <c r="P131" i="33"/>
  <c r="P129" i="33" s="1"/>
  <c r="S119" i="33"/>
  <c r="S22" i="33"/>
  <c r="R40" i="33"/>
  <c r="R120" i="33"/>
  <c r="R119" i="33" s="1"/>
  <c r="P26" i="33"/>
  <c r="P25" i="33" s="1"/>
  <c r="S129" i="33"/>
  <c r="X143" i="34"/>
  <c r="Y19" i="34"/>
  <c r="X184" i="34"/>
  <c r="R136" i="33"/>
  <c r="R129" i="33" s="1"/>
  <c r="V112" i="34"/>
  <c r="X66" i="34"/>
  <c r="S35" i="33"/>
  <c r="R141" i="33"/>
  <c r="R38" i="33"/>
  <c r="R23" i="33"/>
  <c r="R22" i="33" s="1"/>
  <c r="X51" i="34"/>
  <c r="X166" i="34"/>
  <c r="X71" i="34"/>
  <c r="X137" i="34"/>
  <c r="X121" i="34"/>
  <c r="X119" i="34" s="1"/>
  <c r="X27" i="34"/>
  <c r="X25" i="34" s="1"/>
  <c r="P89" i="33"/>
  <c r="P87" i="33" s="1"/>
  <c r="X62" i="34"/>
  <c r="P14" i="33"/>
  <c r="S14" i="33"/>
  <c r="S173" i="33"/>
  <c r="X52" i="34"/>
  <c r="Y35" i="34"/>
  <c r="X63" i="34"/>
  <c r="S116" i="33"/>
  <c r="Y182" i="34"/>
  <c r="R106" i="33"/>
  <c r="P173" i="33"/>
  <c r="R30" i="33"/>
  <c r="V26" i="34"/>
  <c r="V25" i="34" s="1"/>
  <c r="V142" i="34"/>
  <c r="Y69" i="34"/>
  <c r="V145" i="34"/>
  <c r="P182" i="33"/>
  <c r="P181" i="33" s="1"/>
  <c r="Y166" i="34"/>
  <c r="V167" i="34"/>
  <c r="V166" i="34" s="1"/>
  <c r="P117" i="33"/>
  <c r="P116" i="33" s="1"/>
  <c r="X41" i="34"/>
  <c r="Y119" i="34"/>
  <c r="S168" i="33"/>
  <c r="V182" i="34"/>
  <c r="X72" i="34"/>
  <c r="S162" i="33"/>
  <c r="R160" i="33"/>
  <c r="R155" i="33" s="1"/>
  <c r="Y30" i="34"/>
  <c r="R98" i="33"/>
  <c r="R102" i="33"/>
  <c r="X140" i="34"/>
  <c r="X85" i="34"/>
  <c r="X160" i="34"/>
  <c r="R64" i="33"/>
  <c r="X136" i="34"/>
  <c r="P101" i="33"/>
  <c r="R15" i="33"/>
  <c r="X180" i="34"/>
  <c r="Y174" i="34"/>
  <c r="X117" i="34"/>
  <c r="X116" i="34" s="1"/>
  <c r="S155" i="33"/>
  <c r="S82" i="33"/>
  <c r="V178" i="34"/>
  <c r="V174" i="34" s="1"/>
  <c r="S58" i="33"/>
  <c r="R72" i="33"/>
  <c r="S69" i="33"/>
  <c r="R183" i="33"/>
  <c r="S181" i="33"/>
  <c r="X185" i="34"/>
  <c r="X131" i="34"/>
  <c r="P69" i="33"/>
  <c r="P112" i="33"/>
  <c r="S97" i="33"/>
  <c r="X17" i="34"/>
  <c r="R71" i="33"/>
  <c r="V156" i="34"/>
  <c r="X161" i="34"/>
  <c r="X53" i="34"/>
  <c r="Y58" i="34"/>
  <c r="Y139" i="34"/>
  <c r="Y130" i="34"/>
  <c r="Y82" i="34"/>
  <c r="Y97" i="34"/>
  <c r="Y49" i="34"/>
  <c r="Y5" i="34"/>
  <c r="X159" i="34"/>
  <c r="X6" i="34"/>
  <c r="V5" i="34"/>
  <c r="X60" i="34"/>
  <c r="V148" i="34"/>
  <c r="V147" i="34" s="1"/>
  <c r="X148" i="34"/>
  <c r="X147" i="34" s="1"/>
  <c r="Y25" i="34"/>
  <c r="X15" i="34"/>
  <c r="X103" i="34"/>
  <c r="Y87" i="34"/>
  <c r="X111" i="34"/>
  <c r="S138" i="33"/>
  <c r="R143" i="33"/>
  <c r="V15" i="34"/>
  <c r="V14" i="34" s="1"/>
  <c r="X88" i="34"/>
  <c r="X87" i="34" s="1"/>
  <c r="R100" i="33"/>
  <c r="P91" i="33"/>
  <c r="S172" i="1"/>
  <c r="T172" i="1" s="1"/>
  <c r="U173" i="1" s="1"/>
  <c r="S250" i="1"/>
  <c r="T250" i="1" s="1"/>
  <c r="U252" i="1" s="1"/>
  <c r="S227" i="1"/>
  <c r="T227" i="1" s="1"/>
  <c r="U231" i="1" s="1"/>
  <c r="S371" i="1"/>
  <c r="T371" i="1" s="1"/>
  <c r="U374" i="1" s="1"/>
  <c r="S234" i="1"/>
  <c r="T234" i="1" s="1"/>
  <c r="U236" i="1" s="1"/>
  <c r="S265" i="1"/>
  <c r="T265" i="1" s="1"/>
  <c r="U266" i="1" s="1"/>
  <c r="S260" i="1"/>
  <c r="T260" i="1" s="1"/>
  <c r="U262" i="1" s="1"/>
  <c r="S367" i="1"/>
  <c r="T367" i="1" s="1"/>
  <c r="S197" i="1"/>
  <c r="T197" i="1" s="1"/>
  <c r="U200" i="1" s="1"/>
  <c r="S316" i="1"/>
  <c r="T316" i="1" s="1"/>
  <c r="U319" i="1" s="1"/>
  <c r="S187" i="1"/>
  <c r="T187" i="1" s="1"/>
  <c r="U189" i="1" s="1"/>
  <c r="S239" i="1"/>
  <c r="T239" i="1" s="1"/>
  <c r="U240" i="1" s="1"/>
  <c r="S356" i="1"/>
  <c r="T356" i="1" s="1"/>
  <c r="U358" i="1" s="1"/>
  <c r="S270" i="1"/>
  <c r="T270" i="1" s="1"/>
  <c r="U271" i="1" s="1"/>
  <c r="S336" i="1"/>
  <c r="T336" i="1" s="1"/>
  <c r="U338" i="1" s="1"/>
  <c r="S361" i="1"/>
  <c r="T361" i="1" s="1"/>
  <c r="U362" i="1" s="1"/>
  <c r="S212" i="1"/>
  <c r="T212" i="1" s="1"/>
  <c r="S167" i="1"/>
  <c r="T167" i="1" s="1"/>
  <c r="U169" i="1" s="1"/>
  <c r="S311" i="1"/>
  <c r="T311" i="1" s="1"/>
  <c r="U313" i="1" s="1"/>
  <c r="S202" i="1"/>
  <c r="U203" i="1" s="1"/>
  <c r="S149" i="1"/>
  <c r="T149" i="1" s="1"/>
  <c r="U152" i="1" s="1"/>
  <c r="S109" i="1"/>
  <c r="T109" i="1" s="1"/>
  <c r="U110" i="1" s="1"/>
  <c r="S91" i="1"/>
  <c r="T91" i="1" s="1"/>
  <c r="U94" i="1" s="1"/>
  <c r="S139" i="1"/>
  <c r="T139" i="1" s="1"/>
  <c r="U141" i="1" s="1"/>
  <c r="S154" i="1"/>
  <c r="T154" i="1" s="1"/>
  <c r="U156" i="1" s="1"/>
  <c r="S114" i="1"/>
  <c r="T114" i="1" s="1"/>
  <c r="S341" i="1"/>
  <c r="T341" i="1" s="1"/>
  <c r="U342" i="1" s="1"/>
  <c r="S129" i="1"/>
  <c r="T129" i="1" s="1"/>
  <c r="U131" i="1" s="1"/>
  <c r="S134" i="1"/>
  <c r="T134" i="1" s="1"/>
  <c r="U137" i="1" s="1"/>
  <c r="S144" i="1"/>
  <c r="T144" i="1" s="1"/>
  <c r="U145" i="1" s="1"/>
  <c r="S119" i="1"/>
  <c r="T119" i="1" s="1"/>
  <c r="U120" i="1" s="1"/>
  <c r="S159" i="1"/>
  <c r="T159" i="1" s="1"/>
  <c r="U162" i="1" s="1"/>
  <c r="S403" i="1"/>
  <c r="T403" i="1" s="1"/>
  <c r="S388" i="1"/>
  <c r="T388" i="1" s="1"/>
  <c r="S398" i="1"/>
  <c r="T398" i="1" s="1"/>
  <c r="S439" i="1"/>
  <c r="T439" i="1" s="1"/>
  <c r="S444" i="1"/>
  <c r="T444" i="1" s="1"/>
  <c r="S418" i="1"/>
  <c r="T418" i="1" s="1"/>
  <c r="S449" i="1"/>
  <c r="T449" i="1" s="1"/>
  <c r="S408" i="1"/>
  <c r="T408" i="1" s="1"/>
  <c r="S378" i="1"/>
  <c r="T378" i="1" s="1"/>
  <c r="S393" i="1"/>
  <c r="T393" i="1" s="1"/>
  <c r="S413" i="1"/>
  <c r="T413" i="1" s="1"/>
  <c r="U414" i="1" s="1"/>
  <c r="S424" i="1"/>
  <c r="T424" i="1" s="1"/>
  <c r="S434" i="1"/>
  <c r="T434" i="1" s="1"/>
  <c r="U566" i="1"/>
  <c r="U564" i="1"/>
  <c r="U565" i="1"/>
  <c r="P74" i="33"/>
  <c r="R44" i="33"/>
  <c r="X163" i="34"/>
  <c r="V74" i="34"/>
  <c r="R162" i="33"/>
  <c r="P138" i="33"/>
  <c r="U549" i="1"/>
  <c r="V82" i="34"/>
  <c r="C326" i="33"/>
  <c r="U31" i="1"/>
  <c r="U33" i="1"/>
  <c r="U32" i="1"/>
  <c r="X30" i="34" l="1"/>
  <c r="U430" i="1"/>
  <c r="U431" i="1"/>
  <c r="R168" i="33"/>
  <c r="U411" i="1"/>
  <c r="U410" i="1"/>
  <c r="U409" i="1"/>
  <c r="U309" i="1"/>
  <c r="U307" i="1"/>
  <c r="U308" i="1"/>
  <c r="U127" i="1"/>
  <c r="U126" i="1"/>
  <c r="U125" i="1"/>
  <c r="U550" i="1"/>
  <c r="R14" i="33"/>
  <c r="U490" i="1"/>
  <c r="U150" i="1"/>
  <c r="U539" i="1"/>
  <c r="U509" i="1"/>
  <c r="U543" i="1"/>
  <c r="U545" i="1"/>
  <c r="U519" i="1"/>
  <c r="U469" i="1"/>
  <c r="U458" i="1"/>
  <c r="U75" i="1"/>
  <c r="U151" i="1"/>
  <c r="U468" i="1"/>
  <c r="U457" i="1"/>
  <c r="U142" i="1"/>
  <c r="U514" i="1"/>
  <c r="R49" i="33"/>
  <c r="U42" i="1"/>
  <c r="U157" i="1"/>
  <c r="U529" i="1"/>
  <c r="U7" i="1"/>
  <c r="P148" i="33"/>
  <c r="B326" i="33" s="1"/>
  <c r="V149" i="34"/>
  <c r="B327" i="34" s="1"/>
  <c r="P115" i="33"/>
  <c r="B325" i="33" s="1"/>
  <c r="X14" i="34"/>
  <c r="X82" i="34"/>
  <c r="X5" i="34"/>
  <c r="V29" i="34"/>
  <c r="B321" i="34" s="1"/>
  <c r="X35" i="34"/>
  <c r="X29" i="34" s="1"/>
  <c r="F332" i="34" s="1"/>
  <c r="U510" i="1"/>
  <c r="U538" i="1"/>
  <c r="U498" i="1"/>
  <c r="U474" i="1"/>
  <c r="U488" i="1"/>
  <c r="U500" i="1"/>
  <c r="U534" i="1"/>
  <c r="U475" i="1"/>
  <c r="U494" i="1"/>
  <c r="U533" i="1"/>
  <c r="U560" i="1"/>
  <c r="U515" i="1"/>
  <c r="U480" i="1"/>
  <c r="U485" i="1"/>
  <c r="U561" i="1"/>
  <c r="U495" i="1"/>
  <c r="U484" i="1"/>
  <c r="U479" i="1"/>
  <c r="U463" i="1"/>
  <c r="U523" i="1"/>
  <c r="U505" i="1"/>
  <c r="U528" i="1"/>
  <c r="U555" i="1"/>
  <c r="U525" i="1"/>
  <c r="U504" i="1"/>
  <c r="U554" i="1"/>
  <c r="U518" i="1"/>
  <c r="U465" i="1"/>
  <c r="U415" i="1"/>
  <c r="U241" i="1"/>
  <c r="U353" i="1"/>
  <c r="U302" i="1"/>
  <c r="U323" i="1"/>
  <c r="U332" i="1"/>
  <c r="U228" i="1"/>
  <c r="U261" i="1"/>
  <c r="U256" i="1"/>
  <c r="U246" i="1"/>
  <c r="U328" i="1"/>
  <c r="U314" i="1"/>
  <c r="U296" i="1"/>
  <c r="U258" i="1"/>
  <c r="U220" i="1"/>
  <c r="U179" i="1"/>
  <c r="U349" i="1"/>
  <c r="U247" i="1"/>
  <c r="U347" i="1"/>
  <c r="U188" i="1"/>
  <c r="U295" i="1"/>
  <c r="U337" i="1"/>
  <c r="U224" i="1"/>
  <c r="U327" i="1"/>
  <c r="U333" i="1"/>
  <c r="U205" i="1"/>
  <c r="U225" i="1"/>
  <c r="U190" i="1"/>
  <c r="U229" i="1"/>
  <c r="U218" i="1"/>
  <c r="U263" i="1"/>
  <c r="U339" i="1"/>
  <c r="U268" i="1"/>
  <c r="U324" i="1"/>
  <c r="U178" i="1"/>
  <c r="U193" i="1"/>
  <c r="U292" i="1"/>
  <c r="U317" i="1"/>
  <c r="U272" i="1"/>
  <c r="U170" i="1"/>
  <c r="U318" i="1"/>
  <c r="U273" i="1"/>
  <c r="U185" i="1"/>
  <c r="U267" i="1"/>
  <c r="U195" i="1"/>
  <c r="U209" i="1"/>
  <c r="U251" i="1"/>
  <c r="U183" i="1"/>
  <c r="U352" i="1"/>
  <c r="U303" i="1"/>
  <c r="U291" i="1"/>
  <c r="U208" i="1"/>
  <c r="U253" i="1"/>
  <c r="U168" i="1"/>
  <c r="U235" i="1"/>
  <c r="U213" i="1"/>
  <c r="U237" i="1"/>
  <c r="U174" i="1"/>
  <c r="U215" i="1"/>
  <c r="U357" i="1"/>
  <c r="U359" i="1"/>
  <c r="U132" i="1"/>
  <c r="U112" i="1"/>
  <c r="U76" i="1"/>
  <c r="U87" i="1"/>
  <c r="U61" i="1"/>
  <c r="U48" i="1"/>
  <c r="U27" i="1"/>
  <c r="U37" i="1"/>
  <c r="U85" i="1"/>
  <c r="U18" i="1"/>
  <c r="U43" i="1"/>
  <c r="U80" i="1"/>
  <c r="U52" i="1"/>
  <c r="U53" i="1"/>
  <c r="U6" i="1"/>
  <c r="U16" i="1"/>
  <c r="U64" i="1"/>
  <c r="U69" i="1"/>
  <c r="U28" i="1"/>
  <c r="U70" i="1"/>
  <c r="U36" i="1"/>
  <c r="U79" i="1"/>
  <c r="U22" i="1"/>
  <c r="U12" i="1"/>
  <c r="U11" i="1"/>
  <c r="U66" i="1"/>
  <c r="U23" i="1"/>
  <c r="U59" i="1"/>
  <c r="U47" i="1"/>
  <c r="R5" i="33"/>
  <c r="R173" i="33"/>
  <c r="R181" i="33"/>
  <c r="X139" i="34"/>
  <c r="X156" i="34"/>
  <c r="P4" i="33"/>
  <c r="B319" i="33" s="1"/>
  <c r="X174" i="34"/>
  <c r="R58" i="33"/>
  <c r="V97" i="34"/>
  <c r="V48" i="34" s="1"/>
  <c r="B323" i="34" s="1"/>
  <c r="X130" i="34"/>
  <c r="X69" i="34"/>
  <c r="R35" i="33"/>
  <c r="R29" i="33" s="1"/>
  <c r="D321" i="33" s="1"/>
  <c r="X49" i="34"/>
  <c r="X182" i="34"/>
  <c r="P97" i="33"/>
  <c r="P48" i="33" s="1"/>
  <c r="B332" i="33" s="1"/>
  <c r="R69" i="33"/>
  <c r="V139" i="34"/>
  <c r="V115" i="34" s="1"/>
  <c r="R138" i="33"/>
  <c r="X58" i="34"/>
  <c r="R97" i="33"/>
  <c r="X97" i="34"/>
  <c r="V4" i="34"/>
  <c r="B320" i="34" s="1"/>
  <c r="U312" i="1"/>
  <c r="U230" i="1"/>
  <c r="U198" i="1"/>
  <c r="U214" i="1"/>
  <c r="U146" i="1"/>
  <c r="U161" i="1"/>
  <c r="U175" i="1"/>
  <c r="U363" i="1"/>
  <c r="U242" i="1"/>
  <c r="U373" i="1"/>
  <c r="U204" i="1"/>
  <c r="U372" i="1"/>
  <c r="U364" i="1"/>
  <c r="U140" i="1"/>
  <c r="U344" i="1"/>
  <c r="U93" i="1"/>
  <c r="U147" i="1"/>
  <c r="U92" i="1"/>
  <c r="U111" i="1"/>
  <c r="U135" i="1"/>
  <c r="U155" i="1"/>
  <c r="U136" i="1"/>
  <c r="U130" i="1"/>
  <c r="U416" i="1"/>
  <c r="U160" i="1"/>
  <c r="U116" i="1"/>
  <c r="U115" i="1"/>
  <c r="U117" i="1"/>
  <c r="U343" i="1"/>
  <c r="U121" i="1"/>
  <c r="U122" i="1"/>
  <c r="U450" i="1"/>
  <c r="U452" i="1"/>
  <c r="U451" i="1"/>
  <c r="U400" i="1"/>
  <c r="U401" i="1"/>
  <c r="U399" i="1"/>
  <c r="U437" i="1"/>
  <c r="U436" i="1"/>
  <c r="U435" i="1"/>
  <c r="U395" i="1"/>
  <c r="U396" i="1"/>
  <c r="U394" i="1"/>
  <c r="U419" i="1"/>
  <c r="U421" i="1"/>
  <c r="U420" i="1"/>
  <c r="U390" i="1"/>
  <c r="U389" i="1"/>
  <c r="U391" i="1"/>
  <c r="U441" i="1"/>
  <c r="U440" i="1"/>
  <c r="U442" i="1"/>
  <c r="U425" i="1"/>
  <c r="U427" i="1"/>
  <c r="U426" i="1"/>
  <c r="U379" i="1"/>
  <c r="U381" i="1"/>
  <c r="U380" i="1"/>
  <c r="U446" i="1"/>
  <c r="U445" i="1"/>
  <c r="U447" i="1"/>
  <c r="U404" i="1"/>
  <c r="U406" i="1"/>
  <c r="U405" i="1"/>
  <c r="P29" i="33"/>
  <c r="B331" i="33" s="1"/>
  <c r="R4" i="33" l="1"/>
  <c r="F330" i="33" s="1"/>
  <c r="X115" i="34"/>
  <c r="R148" i="33"/>
  <c r="D326" i="33" s="1"/>
  <c r="X4" i="34"/>
  <c r="F331" i="34" s="1"/>
  <c r="X149" i="34"/>
  <c r="F335" i="34" s="1"/>
  <c r="B325" i="34"/>
  <c r="R115" i="33"/>
  <c r="D325" i="33" s="1"/>
  <c r="B332" i="34"/>
  <c r="B322" i="34"/>
  <c r="R48" i="33"/>
  <c r="D323" i="33" s="1"/>
  <c r="B323" i="33"/>
  <c r="B330" i="33"/>
  <c r="B318" i="33"/>
  <c r="B322" i="33"/>
  <c r="B328" i="34"/>
  <c r="B335" i="34"/>
  <c r="B327" i="33"/>
  <c r="D326" i="34"/>
  <c r="X48" i="34"/>
  <c r="D323" i="34" s="1"/>
  <c r="B326" i="34"/>
  <c r="B319" i="34"/>
  <c r="B331" i="34"/>
  <c r="B334" i="34"/>
  <c r="F331" i="33"/>
  <c r="B321" i="33"/>
  <c r="B334" i="33"/>
  <c r="D320" i="33"/>
  <c r="B320" i="33"/>
  <c r="D322" i="34"/>
  <c r="B333" i="33"/>
  <c r="D321" i="34"/>
  <c r="B324" i="33"/>
  <c r="B333" i="34"/>
  <c r="B324" i="34"/>
  <c r="D319" i="33" l="1"/>
  <c r="D318" i="33"/>
  <c r="F333" i="33"/>
  <c r="D327" i="33"/>
  <c r="D319" i="34"/>
  <c r="F334" i="33"/>
  <c r="D320" i="34"/>
  <c r="D324" i="33"/>
  <c r="D328" i="34"/>
  <c r="D327" i="34"/>
  <c r="F332" i="33"/>
  <c r="D322" i="33"/>
  <c r="D324" i="34"/>
  <c r="F333" i="34"/>
  <c r="F334" i="34"/>
  <c r="D32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5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6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7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8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9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A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B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C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L34" authorId="0" shapeId="0" xr:uid="{00000000-0006-0000-1000-000001000000}">
      <text>
        <r>
          <rPr>
            <b/>
            <sz val="9"/>
            <color indexed="81"/>
            <rFont val="Tahoma"/>
            <family val="2"/>
          </rPr>
          <t>Hanne Tine Ring Hansen:</t>
        </r>
        <r>
          <rPr>
            <sz val="9"/>
            <color indexed="81"/>
            <rFont val="Tahoma"/>
            <family val="2"/>
          </rPr>
          <t xml:space="preserve">
Pluskontoret efterlyser eksempler, men det er ikke så enkelt - man kan ikke generalisere og sige, at 10 cm isolering altid vil bidrage med XX besparelser i energibehovet
Dette er meget abstrakt, kan der gives eksempler? fx at isoleringen øges yderligere med 10 cm overalt, eller der anvendes højisolerende og (væsentligt ) dyrere isolering etc.</t>
        </r>
      </text>
    </comment>
    <comment ref="T197" authorId="0" shapeId="0" xr:uid="{00000000-0006-0000-1000-000002000000}">
      <text>
        <r>
          <rPr>
            <b/>
            <sz val="9"/>
            <color indexed="81"/>
            <rFont val="Tahoma"/>
            <family val="2"/>
          </rPr>
          <t>Hanne Tine Ring Hansen:</t>
        </r>
        <r>
          <rPr>
            <sz val="9"/>
            <color indexed="81"/>
            <rFont val="Tahoma"/>
            <family val="2"/>
          </rPr>
          <t xml:space="preserve">
Her mangler der et link til beregning af kuber (der var indsat en ekstra række, som pluskontoret havde tilføjet - måske er det der den er gal...</t>
        </r>
      </text>
    </comment>
    <comment ref="U199" authorId="0" shapeId="0" xr:uid="{00000000-0006-0000-1000-000003000000}">
      <text>
        <r>
          <rPr>
            <b/>
            <sz val="9"/>
            <color indexed="81"/>
            <rFont val="Tahoma"/>
            <family val="2"/>
          </rPr>
          <t>Hanne Tine Ring Hansen:</t>
        </r>
        <r>
          <rPr>
            <sz val="9"/>
            <color indexed="81"/>
            <rFont val="Tahoma"/>
            <family val="2"/>
          </rPr>
          <t xml:space="preserve">
er rettet til manuelt, så den ligner originalen.
</t>
        </r>
      </text>
    </comment>
    <comment ref="L298" authorId="0" shapeId="0" xr:uid="{00000000-0006-0000-1000-000004000000}">
      <text>
        <r>
          <rPr>
            <b/>
            <sz val="9"/>
            <color indexed="81"/>
            <rFont val="Tahoma"/>
            <family val="2"/>
          </rPr>
          <t>Hanne Tine Ring Hansen:</t>
        </r>
        <r>
          <rPr>
            <sz val="9"/>
            <color indexed="81"/>
            <rFont val="Tahoma"/>
            <family val="2"/>
          </rPr>
          <t xml:space="preserve">
Pluskontoret mener, at arkitektonisk kvalitet skal vægte højere end 20% og gerne ligevægtes med pris. DK-GBC har oplyst, at de kun ser dette, hvis der er omvendt licitation og selv der, er det svært at komme højere op pga. organisation, byggeplads, miljøkrav mv. der også skal indgå i tildelingen.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author>
  </authors>
  <commentList>
    <comment ref="F169" authorId="0" shapeId="0" xr:uid="{00000000-0006-0000-1100-000001000000}">
      <text>
        <r>
          <rPr>
            <b/>
            <sz val="10"/>
            <color indexed="81"/>
            <rFont val="Arial"/>
            <family val="2"/>
          </rPr>
          <t>DGNB Mindestanforderung</t>
        </r>
      </text>
    </comment>
  </commentList>
</comments>
</file>

<file path=xl/sharedStrings.xml><?xml version="1.0" encoding="utf-8"?>
<sst xmlns="http://schemas.openxmlformats.org/spreadsheetml/2006/main" count="3506" uniqueCount="1072">
  <si>
    <t>INTRODUKTION TIL VÆRKTØJET</t>
  </si>
  <si>
    <t>TILGANG TIL BÆREDYGTIGHED</t>
  </si>
  <si>
    <r>
      <t xml:space="preserve">Værktøjet er bygget op omkring den danske version af DGNB systemet for etageejendomme og rækkehuse (version 2014 1.1) og suppleret med ekstra fokusområder som projektets arbejdsgruppe og advisory board har fundet relevante. Værktøjet kan anvendes uanset projektets ambitionsniveau og uanset om projektet ønskes certificeret. 
I værktøjet anvendes tre forskellige kategorier inden for bæredygtighed, som beskrives herunder:
</t>
    </r>
    <r>
      <rPr>
        <u/>
        <sz val="11"/>
        <color theme="1"/>
        <rFont val="Calibri"/>
        <family val="2"/>
        <scheme val="minor"/>
      </rPr>
      <t>Miljømæssig bæredygtighed</t>
    </r>
    <r>
      <rPr>
        <sz val="11"/>
        <color theme="1"/>
        <rFont val="Calibri"/>
        <family val="2"/>
        <scheme val="minor"/>
      </rPr>
      <t xml:space="preserve">
Den miljømæssige bæredygtighed omhandler de miljø- og klimamæssige belastninger, der er forbundet med anlæg af et byggeri. Dette er både i forbindelse med produktion af materialer, opførelse, drift og nedrivning af bygningen, og omhandler ressourceforbrug, energiforbrug, miljøudledninger (herunder CO2-udledning) og vandforbrug. 
</t>
    </r>
    <r>
      <rPr>
        <u/>
        <sz val="11"/>
        <color theme="1"/>
        <rFont val="Calibri"/>
        <family val="2"/>
        <scheme val="minor"/>
      </rPr>
      <t xml:space="preserve">Økonomisk bæredygtighed
</t>
    </r>
    <r>
      <rPr>
        <sz val="11"/>
        <color theme="1"/>
        <rFont val="Calibri"/>
        <family val="2"/>
        <scheme val="minor"/>
      </rPr>
      <t xml:space="preserve">Den økonomiske bæredygtighed berører totaløkonomien for en bygning, hvilket er omkostninger til anlæg, drift og vedligehold over bygningens levetid. Derudover omhandler økonomisk bæredygtgihed også robustheden af bygningen, og fleksibiliteten af den i forbindelse med eventuel ændring i behov, krav og anvendelse i fremtiden.
</t>
    </r>
    <r>
      <rPr>
        <u/>
        <sz val="11"/>
        <color theme="1"/>
        <rFont val="Calibri"/>
        <family val="2"/>
        <scheme val="minor"/>
      </rPr>
      <t xml:space="preserve">Social bæredygtighed
</t>
    </r>
    <r>
      <rPr>
        <sz val="11"/>
        <color theme="1"/>
        <rFont val="Calibri"/>
        <family val="2"/>
        <scheme val="minor"/>
      </rPr>
      <t xml:space="preserve">Den sociale bæredygtighed har bygningens brugere i centrum. Her betragtes, hvordan bygningen bidrager positivt til brugernes sundhed og velbefindende. Dette er blandt andet i forbindelse med de indeklimamæssige forhold (temperatur, luftkvalitet, dagslys og akustik), kvaliteten af de udendørs arealer, hvorvidt bygningen er tilgængelig for alle og om brugerne føler sig trygge, når de bevæger sig i og omkring bygningen.
</t>
    </r>
  </si>
  <si>
    <t>ÅBENT FILFORMAT</t>
  </si>
  <si>
    <t xml:space="preserve">Værktøjet er udviklet i et åbent filformat og det kan derfor tilpasses den enkelte boligforenings behov og ønsker til formuleringer i takt med at værktøjet afprøves af foreninger på sager og hvis foreningens forståelse af bæredygtigt byggeri udvikler sig udover tiltag i dette værktøj. </t>
  </si>
  <si>
    <t>HVORNÅR OG HVORDAN ANVENDES VÆRKTØJET</t>
  </si>
  <si>
    <t xml:space="preserve">Værktøjet er udviklet til at indgå i en tidlig idé og programfase forud for et egentligt rådgiver eller totalentrepriseudbud. </t>
  </si>
  <si>
    <t xml:space="preserve">Værktøjet kan anvendes forskelligt afhængig af projektets ambitionsniveau. Hvis projektet ikke ønskes certificeret kan værktøjet anvendes af boligforeningens projektleder eller tekniske chef. Hvis projektet skal certificeres kan der tilknyttes en DGNB konsulent eller auditor, der indgår i dialogen med byggeudvalget og hovedbestyrelsen og som på baggrund af dialogen med byggeudvalget og/eller hovedbestyrelsen kan udfylde en reel DGNB screening for projektet. Denne kan indarbejdes i udbuddet på forskellig vis. </t>
  </si>
  <si>
    <t>FORBEREDELSE AF DIALOG MED BYGGEUDVALG OG/ELLER HOVEDBESTYRELSE</t>
  </si>
  <si>
    <t>Vælg fra rullemenu</t>
  </si>
  <si>
    <t>Ja</t>
  </si>
  <si>
    <t>PROJEKTDATA</t>
  </si>
  <si>
    <t>Nej</t>
  </si>
  <si>
    <t>Projektnavn</t>
  </si>
  <si>
    <t>Ved ikke</t>
  </si>
  <si>
    <t>Adresse</t>
  </si>
  <si>
    <t>Boligforening</t>
  </si>
  <si>
    <t>Afdeling</t>
  </si>
  <si>
    <t>Over 30%</t>
  </si>
  <si>
    <t>Projektleder</t>
  </si>
  <si>
    <t>Under 30%</t>
  </si>
  <si>
    <t>Organisationsbestyrelsens medlemmer</t>
  </si>
  <si>
    <t>Byggeudvalgets medlemmer</t>
  </si>
  <si>
    <t>Projektstart</t>
  </si>
  <si>
    <t>Max. 8.100 kr/m2</t>
  </si>
  <si>
    <t>Forventet projektafslutning</t>
  </si>
  <si>
    <t>Max. 9.000 kr/m2</t>
  </si>
  <si>
    <t>Andet</t>
  </si>
  <si>
    <t>Max. 9.900 kr/m2</t>
  </si>
  <si>
    <t>Ønsker selv at vælge vægtning af temaer</t>
  </si>
  <si>
    <t>Max. 10.800 kr/m2</t>
  </si>
  <si>
    <t>Max. 11.700 kr/m2</t>
  </si>
  <si>
    <t>Hvem skal inddrages i dialogen om projektets bæredygtighed?</t>
  </si>
  <si>
    <t>Max. 12.600 kr/m2</t>
  </si>
  <si>
    <t>I de farvede celler herunder indtastes de dialogparter, som det er relevant at inddrage i processen. Til højre for cellerne ses eksempler på dialogparter.</t>
  </si>
  <si>
    <t>Max. 13.500 kr/m2</t>
  </si>
  <si>
    <t>Vælg fra rullemenu:</t>
  </si>
  <si>
    <t>Max. 14.400 kr/m2</t>
  </si>
  <si>
    <t>Ikke relevant</t>
  </si>
  <si>
    <t>Max. 15.300 kr/m2</t>
  </si>
  <si>
    <t>Dialogpart 1</t>
  </si>
  <si>
    <t>F.eks. Projektleder</t>
  </si>
  <si>
    <t>Max. 16.200 kr/m2</t>
  </si>
  <si>
    <t>Dialogpart 2</t>
  </si>
  <si>
    <t>F.eks. Organisationsbestyrelse og Byggeudvalg</t>
  </si>
  <si>
    <t>Højere end  16.200 kr/m2</t>
  </si>
  <si>
    <t>Dialogpart 3</t>
  </si>
  <si>
    <t>F.eks. Driftsorganisation</t>
  </si>
  <si>
    <t>Dialogpart 4</t>
  </si>
  <si>
    <t>F.eks. Udlejning eller administration</t>
  </si>
  <si>
    <t>Dialogpart 5</t>
  </si>
  <si>
    <t>Arkitektkonkurrence</t>
  </si>
  <si>
    <t>Dialogpart 6</t>
  </si>
  <si>
    <t>Totalentreprisekonkurrence eller OPP leverance</t>
  </si>
  <si>
    <t>Dialogpart 7</t>
  </si>
  <si>
    <t>Jurybedømmelse/ekspertudvalg</t>
  </si>
  <si>
    <t>Variantundersøgerlser</t>
  </si>
  <si>
    <t>Spørgsmål til Projektleder</t>
  </si>
  <si>
    <t>Åben konkurrence</t>
  </si>
  <si>
    <t>Nedenstående spørgsmål søger at afklare, hvilke krav og bindinger myndighederne og eventuelt forsyningsselskaber stiller til projektet, og som de bydende bør kende til i forbindelse med tilbudsafgivelse og aflevering af en bæredygtighedsstrategi eller decideret DGNB screening. Derudover er der spørgsmål, der skal afklare formen af udbudskonkurrencen samt de økonomiske rammer for projektet.</t>
  </si>
  <si>
    <t>Indbudt konkurrence</t>
  </si>
  <si>
    <t>Spørgsmål</t>
  </si>
  <si>
    <t>Svar</t>
  </si>
  <si>
    <t>DGNB kriterium</t>
  </si>
  <si>
    <t>Hvilke krav stiller lokalplanen til bygningernes miljøbelastning (f.eks. energiramme eller frivillig bæredygtighedsklasse)?</t>
  </si>
  <si>
    <t>Indsæt kort beskrivelse af planrammernes krav.</t>
  </si>
  <si>
    <t>ENV 1.1 og 2.1</t>
  </si>
  <si>
    <t>Stiller Kommunen krav til lokal håndtering af regnvand?</t>
  </si>
  <si>
    <t>Hvis 'Ja', beskriv krav.</t>
  </si>
  <si>
    <t>ENV 2.2</t>
  </si>
  <si>
    <t>Hvor stor en andel af nedbøren på grunden skal nedsives eller forsinkes lokalt på grunden? Og tillader grundvandsforholdene på grunden dette?</t>
  </si>
  <si>
    <t>Beskriv, hvilke krav Kommunen stiller til håndtering af regnvand og grundvandsforholdene.</t>
  </si>
  <si>
    <t>Er der registreret forurening på grunden?</t>
  </si>
  <si>
    <t>ENV 2.3</t>
  </si>
  <si>
    <t>Hvad er omfanget af forureningen?</t>
  </si>
  <si>
    <t>Beskriv kort tilgængelig viden og henvis evt. til relevante dokumenter.</t>
  </si>
  <si>
    <t>Hvad er den tilladte bebyggelsesprocent på grunden?</t>
  </si>
  <si>
    <t>Hvilke økonomiske rammer stilles der til bygningens anlægsøkonomi?</t>
  </si>
  <si>
    <t>ECO 1.1</t>
  </si>
  <si>
    <t xml:space="preserve">Hvilket krav stilles til den fri rumhøjde fra oversiden af gulvet til undersiden af loftet? </t>
  </si>
  <si>
    <t>Angiv minimum rumhøjde i meter.</t>
  </si>
  <si>
    <t>ECO 2.1</t>
  </si>
  <si>
    <t>Hvilken type konkurrence udbydes projektet i?</t>
  </si>
  <si>
    <t>SOC 3.1</t>
  </si>
  <si>
    <t>Er konkurrenceformen åben for alle eller kun for særligt inviterede firmaer?</t>
  </si>
  <si>
    <t>Vil der i udbuddet blive stillet krav om udarbejdelse af brandteknisk dokumentation, brandplaner og drifts- og vedligeholdelsesplaner?</t>
  </si>
  <si>
    <t>PRO 1.3</t>
  </si>
  <si>
    <t>Vil der i udbuddet blive stillet krav om oprettelse af en funktions-/styre- og grænsefladematrix, der sikrer grænsefladekontrol af sikkerhedsrelevante anlæg?</t>
  </si>
  <si>
    <t xml:space="preserve">Forventes projektet at stille brandkrav, der går udover myndighedskrav til projektet? </t>
  </si>
  <si>
    <t>TEC 1.1</t>
  </si>
  <si>
    <t>Hvilke interessenter skal sikre systematisk idriftsættelse og eventuel opfølgning i driftsfasen?</t>
  </si>
  <si>
    <t>Beskriv hvem der skal sikre systematisk idriftsættelse f.eks. bygherres drift/vicevært, bygherrerådgiver, rådgiveren eller entreprenøren). Der kan godt være forskellige interessenter ved aflevering og i driftsfasen.</t>
  </si>
  <si>
    <t>PRO 2.3</t>
  </si>
  <si>
    <t>Spørgsmål omkring forhold på grunden</t>
  </si>
  <si>
    <t xml:space="preserve">Forventes det, at der vil være risiko for oversvømmelse fra enten regnvand, spildevand eller havvand på byggegrunden? </t>
  </si>
  <si>
    <t>Hvis ja, beskriv særlige forebyggende foranstaltninger, som skal indarbejdes i projektet (eks. Hævet kote for byggeriets nederste etage, pumper el.lign)</t>
  </si>
  <si>
    <t>SITE1.1</t>
  </si>
  <si>
    <t>Har bygherre kendskab til indholdet af finstøv, ozon og CO2 i udeluften?</t>
  </si>
  <si>
    <t>Angiv de specifikke data eller henvis til bilag med oplysninger.</t>
  </si>
  <si>
    <t>Er det udendørs støjniveau for byggefeltet kortlagt?</t>
  </si>
  <si>
    <t>Hvis ja, vedlægges støjkort. Beskriv særlige funktioner i byggeriet, der er følsomme overfor de registrerede støjniveauer.</t>
  </si>
  <si>
    <t>Hvilken radonklasse er byggefeltet eller området klassificeret som på http://boligejer.dk/guide-radon/0/26?</t>
  </si>
  <si>
    <t>Beskriv, hvis de valgte rådgivere forventes at indarbejde særlige tiltag til radonsikring i projektet.</t>
  </si>
  <si>
    <t>Har bygherre kendskab til elektromagnetiske felter og højspændingsledninger i området omkring byggefeltet?</t>
  </si>
  <si>
    <t>Hvis ja, beskriv hvilke immissionsværdier, der er oplyst for hhv. elektromagnetiske felter eller højspænding.</t>
  </si>
  <si>
    <t>Er området for byggefeltet præget af kriminalitet?</t>
  </si>
  <si>
    <t>Beskriv evt. kriminalpræventive tiltag, der skal indarbejdes i projektet.</t>
  </si>
  <si>
    <t>SITE1.2</t>
  </si>
  <si>
    <t>Hvilke krav stilles til projektets parkeringsmuligheder?</t>
  </si>
  <si>
    <t>Beskriv krav. Eks. antal og placering af almindelig parkeringspladser, handikapparkering og cykelparkering.</t>
  </si>
  <si>
    <t>SITE1.3</t>
  </si>
  <si>
    <t>Stilles særlige krav om faciliteter for bilister?</t>
  </si>
  <si>
    <t>Beskriv krav. Eks. Ladestandere til elbiler, afsætningsområde (kiss'n'ride) etc.</t>
  </si>
  <si>
    <t>Stiller bygherre krav om, at der skal indarbejdes servicefunktioner i byggeriet eller på byggegrunden?</t>
  </si>
  <si>
    <t>Hvis ja, beskriv hvilke funktioner (eks. Bibliotek, spisested, butik, børnepasning, sundhedsfaciliteter, sportsfaciliteter)</t>
  </si>
  <si>
    <t>SITE1.4</t>
  </si>
  <si>
    <t>SORTERING AF EMNER TIL DIALOGEN</t>
  </si>
  <si>
    <t xml:space="preserve">Vælg i den orange rullemenu hvem skal forholde sig til nedenstående emner?
Hvis du selv vil vægte hvert tema skal vægtningen indtastes i de gule celler. Husk at det skal give 100% </t>
  </si>
  <si>
    <t>Tema</t>
  </si>
  <si>
    <t>Forklarende tekst</t>
  </si>
  <si>
    <t>Hvem skal spørges</t>
  </si>
  <si>
    <t>Temaets vægtning i DGNB</t>
  </si>
  <si>
    <t>Temaet materialer omhandler materialers miljøbelastning i produktion og bortskaffelsesfasen, giftighed, social ansvarlilghed i indkøbsfasen og muligheder for genbrug og/eller genanvendelse af byggevarer ved endt anvendelse.</t>
  </si>
  <si>
    <t>Temaet energi omhandler miljøbelastninger fra energi i driftsfasen og vedvarende energikilder.</t>
  </si>
  <si>
    <t xml:space="preserve">Temaet vand omhandler vandforbrug, håndtering af regnvand og spildevand. </t>
  </si>
  <si>
    <t>Temaet beplantning omhandler beplantningens type og potentialer for sociale og miljømæssige gevinster.</t>
  </si>
  <si>
    <t>Temaet omhandler håndtering af registreret eller ikke registreret eksisterende jordforurening på grunden.</t>
  </si>
  <si>
    <t>Temaet omhandler omkostninger til anlæg af byggeriet, drift, renhold og vedligehold.</t>
  </si>
  <si>
    <t>Temaet omhandler konstruktioner og installationers fleksibilitet og de designmæssige overvejelser, der relaterer hertil.</t>
  </si>
  <si>
    <t xml:space="preserve">Temaet omhandler klimaskærmens levetid og forebyggelse af byggeskader. </t>
  </si>
  <si>
    <t>Temaet omhandler brugernes komfort i forhold til rumtemperaturer, lys og luftkvalitet.</t>
  </si>
  <si>
    <t>Temaet omhandler brugernes mulighed for at forbedre deres komfort.</t>
  </si>
  <si>
    <t>Temaet omhandler tilgængelighed for personer med nedsat funktionsevne.</t>
  </si>
  <si>
    <t>Temaet omhandler udearealernes kvalitet og tilbud til brugerne.</t>
  </si>
  <si>
    <t>Temaet om omhandler placering og omfang af cykelparkering samt tilbud til cyklister (f.eks. Værksteder).</t>
  </si>
  <si>
    <t>Temaet omhandler tekniske foranstaltninger, der øger brugerens oplevelse af tryghed   og brugerens sikkerhed i tilfælde af ulykker.</t>
  </si>
  <si>
    <t>Temaet omhandler hvordan udbudsformen bidrager til projektets arkitektoniske kvalitet.</t>
  </si>
  <si>
    <t>Temaet omhandler placering af bygningens rum, deres anvendelse og kvalitet.</t>
  </si>
  <si>
    <t>Temaet omhandler projektets niveau for brandtekniske foranstaltninger.</t>
  </si>
  <si>
    <t>Temaet omhandler klimaskærmens varmeisolering, kuldebroer, tæthed og fugtregulering, samt vinduernes energimærke.</t>
  </si>
  <si>
    <t>Temaet omhandler muligheder for at reducere behovet for renhold og vedligehold i driftsfasen.</t>
  </si>
  <si>
    <t>Temaet omhandler informationsniveauet i  udbudsmateriale og aftaledokumenter.</t>
  </si>
  <si>
    <t>Temaet omhandler sikring af tidlig integration af tværfaglige problemstillinger i relation til bæredygtighed og bygbarhed.</t>
  </si>
  <si>
    <t>Temaet omhandler dokumentation for tidlig integration af tværfaglige løsninger med relation til bæredygtighed.</t>
  </si>
  <si>
    <t>Temaet omhandler integration af bæredygtighed i udvælgelses- og tildelingskriterier i forbindelse med entrepriseudbud.</t>
  </si>
  <si>
    <t>Temaet omhandler kvaliteten og detaljeringsgraden af det afleverede D&amp;V materiale.</t>
  </si>
  <si>
    <t>Temaet omhandler sociale og miljømæssige hensyn på byggepladsen inkl. affaldshåndtering, støj og støv fra byggepladsen, opbevaring af kemi, forebyggelse af traktose (sammenklemt jord), energiforbrug til skurby og byggeriet, information til naboer.</t>
  </si>
  <si>
    <t>Temaet omhandler eftervisende målinger for klimaskærmens tæthed og kuldebroer, støj fra trinlyd og tekniske installationer  fugtmålinger i byggefasen samt datablade og CE-mærker mv. for alle indbyggede byggevarer.</t>
  </si>
  <si>
    <t xml:space="preserve">Temaet omhandler niveauet for systematisk idriftsættelse af bygningens installationer (commissioning). </t>
  </si>
  <si>
    <t>Spørgsmål til projektleder</t>
  </si>
  <si>
    <t>Hvilke krav stiller lokalplanen til bygningernes miljøbelastning (f.eks. Energiramme eller frivillig bæredygtighedsklasse))?</t>
  </si>
  <si>
    <t>Ja/nej</t>
  </si>
  <si>
    <t>ENV 2.1</t>
  </si>
  <si>
    <t>Hvor stor en andel af nedbøret på grunden skal nedsives eller forsinkes lokalt på grunden? Og tillader grundvandsforholdene på grunden dette?</t>
  </si>
  <si>
    <t>Er der registreret forurening på grunden</t>
  </si>
  <si>
    <t>Hvilke krav stilles til forureningen?</t>
  </si>
  <si>
    <t xml:space="preserve">Forurening skal håndteres efter Kommunens foreskrifter / Håndtering af forurening på grunden skal være bedre end Kommunens foreskrifter og håndtering skal ske på den mest økonomiske måde / Håndtering af forurening på grunden skal være bedre end Kommunens foreskrifter og håndtering skal ske på den mest økonomiske og energieffektive måde </t>
  </si>
  <si>
    <t>Er det bygherres driftorganisation, bygherrerådgiver, rådgiveren eller entreprenøren der skal sikre systematisk idriftsættelse (commissioning) af byggeriet?</t>
  </si>
  <si>
    <t>Skal der ske 're-commissioning' dvs. opfølgning på de idriftsatte installationer i det første år af byggeriets drift?</t>
  </si>
  <si>
    <t>Ja/Nej - beskriv hvilke</t>
  </si>
  <si>
    <t>SITE 1.1</t>
  </si>
  <si>
    <t>Rullemenu (Stine)</t>
  </si>
  <si>
    <t>SITE 1.2</t>
  </si>
  <si>
    <t>SITE 1.3</t>
  </si>
  <si>
    <t>SITE 1.4</t>
  </si>
  <si>
    <t>DGNB-vægtning</t>
  </si>
  <si>
    <t>Egenvægtning i projektorg.</t>
  </si>
  <si>
    <t>Emne</t>
  </si>
  <si>
    <t>Antal centicubes tildelt</t>
  </si>
  <si>
    <t>Noter fra dialogprocessen</t>
  </si>
  <si>
    <t>Ingen udvendig solafskærmning.</t>
  </si>
  <si>
    <t>Ja, meget højere krav</t>
  </si>
  <si>
    <t>3 - Meget vigtigt</t>
  </si>
  <si>
    <t>Ja, enkelte krav</t>
  </si>
  <si>
    <t>2 - Vigtigt</t>
  </si>
  <si>
    <t>1 - Ikke vigtigt</t>
  </si>
  <si>
    <t>Totalentreprisekonkurrence</t>
  </si>
  <si>
    <t>Spørgsmål til</t>
  </si>
  <si>
    <t xml:space="preserve">Nedenstående spørgsmål har projektlederen selv valgt at svare på. ID nummeret i venstre kolonne refererer til det spørgsmålets kort i dialogværktøjet. </t>
  </si>
  <si>
    <t>ID</t>
  </si>
  <si>
    <t>0</t>
  </si>
  <si>
    <t>02</t>
  </si>
  <si>
    <t>03</t>
  </si>
  <si>
    <t>#REFERENCE!</t>
  </si>
  <si>
    <t>04</t>
  </si>
  <si>
    <t>Uddybende kommentarer</t>
  </si>
  <si>
    <t>Ingen udvendig solafskærmning</t>
  </si>
  <si>
    <t>1 - Ingen pleje</t>
  </si>
  <si>
    <t xml:space="preserve">Spørgsmål til </t>
  </si>
  <si>
    <t>Nedenstående spørgsmål er valgt til dialog med Organisationsbestyrelsen. ID nummeret i venstre kolonne refererer til det spørgsmålets kort i dialogværktøjet</t>
  </si>
  <si>
    <t>Byggeudvalg eller Hovedbestyrelse</t>
  </si>
  <si>
    <t>Ikon</t>
  </si>
  <si>
    <t>Ingen radiatorer</t>
  </si>
  <si>
    <t>Har bygherre kendskab til elektromagnetiske felter og højspændingsledninger i området omkring byggefeltet? Og hvilke immissionsværdier er oplyst for henholdsvis elektromagnetiske felter eller højspænding i Volt/meter eller kilovolt/meter?</t>
  </si>
  <si>
    <t>Nedenstående spørgsmål er valgt til dialog med byggeudvalget. ID nummeret i venstre kolonne refererer til det spørgsmålets kort i dialogværktøjet</t>
  </si>
  <si>
    <t>Fravalgte spørgsmål</t>
  </si>
  <si>
    <t>Nedenstående spørgsmål er valgt som 'ikke relevante' under fanen "Sortering af spørgsmål".</t>
  </si>
  <si>
    <t>Visualisering af resultat</t>
  </si>
  <si>
    <t>Resultater fra proriteringer, der er foretaget i de foregående ark ses herunder.</t>
  </si>
  <si>
    <t>Maks. mulig score DGNB vægtning</t>
  </si>
  <si>
    <t>Vægtet resultat ift. DGNB</t>
  </si>
  <si>
    <t>Maks. mulig score egenvægtning</t>
  </si>
  <si>
    <t>Vægtet resultat ift. egenvægtning</t>
  </si>
  <si>
    <t>Cirkeldiagram</t>
  </si>
  <si>
    <t>Graferne viser den procentvise fordeling af, hvordan de fem kvaliteter (miljø, økonomi, sociale hensyn, teknisk kvalitet og proces) vægter i forhold til de prioriteringer, der er foretaget i projektet (jf. besvarelserne i de tidligere faner). Da graferne viser en procentvis fordeling, kan de ikke bruges som indikatorer for en samlet DGNB score. I grafen til venstre ses resultaterne i forhold til en vægtning af prioriteringerne, som læner sig op ad DGNB. Grafen til højre viser resultatet i forhold til projektets egenvægtning (grafen er kun udfyldt, hvis der under fanen "Projektforudsætninger" er afkrydset, at der ønskes mulighed for egenvægtning - grafen kan skjules ved at trykke på minustegnet over kolonne K).</t>
  </si>
  <si>
    <t>Materialer</t>
  </si>
  <si>
    <t>Søjlediagram inkl. Indikator for maksimum score</t>
  </si>
  <si>
    <t>Søjlediagrammet i grafen viser den vægtede score i hver af de fem kvaliteter (miljø, økonomi, sociale hensyn, teknisk kvalitet og proces) i forhold til de prioriteringer, der er foretaget i projektet (jf. besvarelserne i de tidligere faner) samt, hvilken score der maksimalt er mulighed for at opnå inden for hver af de fem kvaliteter. Grafen til venstre viser en vægtning af de prioriteringer, der er foretaget indenfor hver af de fem kvaliteter, der læner sig op ad DGNB. Grafen til højre viser resultatet i forhold til projektets egenvægtning (grafen er kun udfyldt, hvis der under fanen "Projektforudsætninger" er afkrydset, at der ønskes mulighed for egenvægtning - grafen kan skjules ved at trykke på minustegnet over kolonne K).</t>
  </si>
  <si>
    <t>Søjlediagram med indikator for evt. DGNB certificering</t>
  </si>
  <si>
    <t>Søjlediagrammet i grafen viser en indikering af niveauet for procentscoren inden for hver af de fem kvaliteter (miljø, økonomi, sociale hensyn, teknisk kvalitet og proces) i forhold til de prioriteringer, der er foretaget i projektet (jf. besvarelserne i de tidligere faner). Procentscoren er beregnet ud fra, hvor stor en procentdel den score, der er opnået, udgøt af den maksimalt muluge score inden for hver af de fem kvaliteter.Vægtningen af de prioriteringer, der er foretaget indenfor hver af de fem kvaliteter, læner sig op ad DGNB vægtning. De indlagte linjer viser DGNB krav til hver af de fem kvaliteter i forbindelse med en eventuel DGNB certificering til henholdsvis sølv, guld eller platin. Grafen viser ikke et gyldigt DGNB resultat, men giver en indikator for, hvis der er en eller flere af kvalitetsgrupperne, hvor det er nødvendigt at genoverveje de prioriteringer, der er foretaget, hvis en DGNB certificering ønskes.</t>
  </si>
  <si>
    <t>DGNB</t>
  </si>
  <si>
    <t>Maks. DGNB</t>
  </si>
  <si>
    <t>Egenvægtning</t>
  </si>
  <si>
    <t>Maks. egenvægtning</t>
  </si>
  <si>
    <t>Miljø</t>
  </si>
  <si>
    <t>Økonomi</t>
  </si>
  <si>
    <t>Sociale hensyn</t>
  </si>
  <si>
    <t>Teknisk kvalitet</t>
  </si>
  <si>
    <t>Proces</t>
  </si>
  <si>
    <t>DGNB Platin</t>
  </si>
  <si>
    <t xml:space="preserve">DGNB Guld </t>
  </si>
  <si>
    <t>DGNB Sølv</t>
  </si>
  <si>
    <t>Ekstra resultatvisninger</t>
  </si>
  <si>
    <t>Søjlediagrammer fordelt på temaer</t>
  </si>
  <si>
    <t>Resultaterne for de fem kvaliteter (miljø, økonomi, sociale hensyn, teknisk kvalitet og proces) er visualiseret i hver sin graf, hvor søjlerne indikerer resultaterne fra de enkelte temaer, der tilhører hver kvalitet. Resulaterne i de farvede søjler er i forhold til de prioriteringer, der er foretaget i projektet (jf. besvarelserne i de tidligere faner). De grå søjler viser den maksimalt mulige score for hvert tema. I graferne til venstre ses resultaterne i forhold til en vægtning af proirteringerne, som læner sig op ad DGNB. Graferne til højre viser resultater i forhold til projektets egenvægtning (graferne er kun udfyldt, hvis der under fanen "Projektforudsætninger" er afkrydset, at der ønskes mulighed for egenvægtning - grafen kan skjules ved at trykke på minustegnet over kolonne K).</t>
  </si>
  <si>
    <t>Stablede søjlediagrammer fordelt på temaer</t>
  </si>
  <si>
    <t>Resultaterne for de fem kvaliteter (miljø, økonomi, sociale hensyn, teknisk kvalitet og proces) er visualiseret i hver sin graf. Søjlerne er stablede, så det ses, hvor høj en score, der opnås samlet for kvalitetsgruppen, men også, hvordan scoren fordeler sig på de underliggende temaer. Søjlerne til venstre i graferne viser den maksimalt mulige score, og søjlerne til højre viser resultaterne i forhold til de prioriteringer, der er foretaget i projektet (jf. besvarelserne i de tidligere faner). 
I graferne til venstre ses resultaterne i forhold til en vægtning af proirteringerne, som læner sig op ad DGNB. Graferne til højre viser resultater i forhold til projektets egenvægtning (graferne er kun udfyldt, hvis der under fanen "Projektforudsætninger" er afkrydset, at der ønskes mulighed for egenvægtning - grafen kan skjules ved at trykke på minustegnet over kolonne K).</t>
  </si>
  <si>
    <t>BÆREDYGTIGHED</t>
  </si>
  <si>
    <t xml:space="preserve">Emnet bæredygtigt byggeri har været en del af dialogprocessen med boligforeningens byggeudvalg og hovedbestyrelse. Dette afsnit indeholder et resume af denne dialog. De foreløbige konklusioner fra dialogprocessen er indsat i nedenstående oversigt over kriterierne i DGNB systemet for etageejendomme og rækkehuse. </t>
  </si>
  <si>
    <t>OVERORDNET MÅLSÆTNING FOR BYGGERIETS BÆREDYGTIGHED</t>
  </si>
  <si>
    <t>Det er projektets overordnede målsætning, at:</t>
  </si>
  <si>
    <r>
      <t xml:space="preserve">Inspiration til formulering af målsætninger:
</t>
    </r>
    <r>
      <rPr>
        <i/>
        <sz val="10"/>
        <color theme="0" tint="-0.499984740745262"/>
        <rFont val="Calibri"/>
        <family val="2"/>
        <scheme val="minor"/>
      </rPr>
      <t>nedenstående målsætninger for byggeriets bæredygtighed skal indarbejdes i projektets beslutningsprocesser, bygningsdesignet og udførelsesfasen og aflevering. 
/
projektet ikke skal DGNB certificeres, men at systematikken fra DGNB systemet skal anvendes på projektet og nedenstående ønsker til byggeriets bæredygtighed indarbejdes i projektet. 
/ 
projektet skal DGNB certificeres og at projektet skal opnå en bronze (kun renovering) / sølv / guld / platin klassificering. I forbindelse med det afleverede tilbud skal der vedlægges navn og CV på den DGNB konsulent eller auditor, der tilknyttes projektet. 
/ 
projektet skal DGNB certificeres og at projektet skal opnå en bronze (kun renovering) / sølv / guld / platin klassificering. I forbindelse med det afleverede tilbud skal der vedlægges navn og CV på den DGNB konsulent eller auditor, der tilknyttes projektet, samt en DGNB matrice der redegør for, hvilke point der er vurderet at være indeholdt i det afleverede tilbud. 
/ 
projektet skal DGNB certificeres og at projektet skal opnå en bronze (kun renovering) / sølv / guld / platin klassificering. I forbindelse med det afleverede tilbud skal der vedlægges navn og CV på den DGNB konsulent eller auditor, der tilknyttes projektet, samt en DGNB matrice der redegør for, hvilke point der er vurderet at være indeholdt i det afleverede tilbud. 
Der skal desuden afleveres en optionspris på DGNB certificeringen, hvor de bydende har prissat følgende omkostninger:
- Gebyrer til Dansk Green Building Council
- omkostninger til DGNB auditor
- omkostninger til rådgivere, der skal udarbejde supplerende dokumentation til DGNB certificeringen
- omkostninger til entreprenører, der skal udarbejde supplerende dokumentation til DGNB certificeringen
- ekstra anlægsomkostninger, som DGNB certificeringen medfører projektet.</t>
    </r>
  </si>
  <si>
    <t xml:space="preserve">FORELØBIGE KONKLUSIONER FRA DIALOGPROCESSEN </t>
  </si>
  <si>
    <t>Kriterium</t>
  </si>
  <si>
    <t>Indikator</t>
  </si>
  <si>
    <t>Underkriterium</t>
  </si>
  <si>
    <t>ENV1.1</t>
  </si>
  <si>
    <t>Livscyklusvurdering (LCA) - Miljøpåvirkninger</t>
  </si>
  <si>
    <t>1.</t>
  </si>
  <si>
    <t>Global opvarming (GWP)</t>
  </si>
  <si>
    <t>2.</t>
  </si>
  <si>
    <t>Ozonnedbrydning (ODP)</t>
  </si>
  <si>
    <t>3.</t>
  </si>
  <si>
    <t>Fotokemisk ozondannelse (POCP)</t>
  </si>
  <si>
    <t>4.</t>
  </si>
  <si>
    <t>Forsuring (AP)</t>
  </si>
  <si>
    <t>5.</t>
  </si>
  <si>
    <t>Næringssaltbelastning (EP)</t>
  </si>
  <si>
    <t>ENV1.2</t>
  </si>
  <si>
    <t>Miljøricisi relateret til byggevarer</t>
  </si>
  <si>
    <t>ENV1.3</t>
  </si>
  <si>
    <t>Miljøvenlig indvinding af materialer</t>
  </si>
  <si>
    <t>Anvendelse af træ og træmateriale</t>
  </si>
  <si>
    <t>1.1</t>
  </si>
  <si>
    <t>Anvendelse af natursten</t>
  </si>
  <si>
    <t>ENV2.1</t>
  </si>
  <si>
    <t>Livscyklusvurdering (LCA) - Primærenergi</t>
  </si>
  <si>
    <t>Forbrug af ikke-vedvarende primærenergi (PEnr)</t>
  </si>
  <si>
    <t>Samlet forbrug af primærenergi (Petot)</t>
  </si>
  <si>
    <t>Andel af vedvarende primærenergi</t>
  </si>
  <si>
    <t>ENV2.2</t>
  </si>
  <si>
    <t>Drikkevandsforbrug og spildevandsudledning</t>
  </si>
  <si>
    <t>ENV2.3</t>
  </si>
  <si>
    <t>Effektiv arealanvendelse</t>
  </si>
  <si>
    <t>Anvendelse af "genbrugsarealer" vs. anvendelse af ubebyggede arealer</t>
  </si>
  <si>
    <t>1.2</t>
  </si>
  <si>
    <t>2.1.1</t>
  </si>
  <si>
    <t>Natur- og miljøforhold ved rensning</t>
  </si>
  <si>
    <t>2.2</t>
  </si>
  <si>
    <t>ECO1.1</t>
  </si>
  <si>
    <t>Bygningsrelaterede levetidsomkostninger</t>
  </si>
  <si>
    <t>ECO2.1</t>
  </si>
  <si>
    <t>Fleksibilitet og omstillingsevne</t>
  </si>
  <si>
    <t>Arealudnyttelse</t>
  </si>
  <si>
    <t>Bygningsdybde</t>
  </si>
  <si>
    <t>6.</t>
  </si>
  <si>
    <t>7.1</t>
  </si>
  <si>
    <t>7.2</t>
  </si>
  <si>
    <t>7.3</t>
  </si>
  <si>
    <t>ECO2.2</t>
  </si>
  <si>
    <t>Robusthed</t>
  </si>
  <si>
    <t>1.3</t>
  </si>
  <si>
    <t>1.4</t>
  </si>
  <si>
    <t>2.1</t>
  </si>
  <si>
    <t>Robuste løsninger</t>
  </si>
  <si>
    <t>2.3</t>
  </si>
  <si>
    <t>SOC1.1</t>
  </si>
  <si>
    <t>Termisk komfort</t>
  </si>
  <si>
    <t xml:space="preserve">Operativ temperatur/sommerperiode (kvantitativ) </t>
  </si>
  <si>
    <t>Træk/sommerperiode (kvalitativ)</t>
  </si>
  <si>
    <t>7.</t>
  </si>
  <si>
    <t>Asymmetrisk strålingstemperatur og gulvtemperatur/sommerperiode (kvalitativ)</t>
  </si>
  <si>
    <t>8.</t>
  </si>
  <si>
    <t>SOC1.2</t>
  </si>
  <si>
    <t>Indendørs luftkvalitet</t>
  </si>
  <si>
    <t>Flygtige organiske forbindelser (VOC)</t>
  </si>
  <si>
    <t>Ventilationsrate</t>
  </si>
  <si>
    <t>SOC1.4</t>
  </si>
  <si>
    <t>Visuel komfort</t>
  </si>
  <si>
    <t>Dagslys i bygningen</t>
  </si>
  <si>
    <t>Dagslys i boligen</t>
  </si>
  <si>
    <t>Udsyn</t>
  </si>
  <si>
    <t>Farvegengivelse</t>
  </si>
  <si>
    <t>Sollys</t>
  </si>
  <si>
    <t>SOC1.5</t>
  </si>
  <si>
    <t>Brugernes muligheder for styring af indeklimaet</t>
  </si>
  <si>
    <t>Ventilation</t>
  </si>
  <si>
    <t>Solafskærmning (udvendig eller ml. ruder)</t>
  </si>
  <si>
    <t xml:space="preserve">Temperaturer i sommerperioden </t>
  </si>
  <si>
    <t>SOC1.6</t>
  </si>
  <si>
    <t>Aktivering af tagflader</t>
  </si>
  <si>
    <t>Tagbeplantningens type</t>
  </si>
  <si>
    <t>Facadeintegrerede udearealer</t>
  </si>
  <si>
    <t>1.5</t>
  </si>
  <si>
    <t>Særlige arealer i stueetagen</t>
  </si>
  <si>
    <t>1.6</t>
  </si>
  <si>
    <t>Beplantning på facader</t>
  </si>
  <si>
    <t>1.7</t>
  </si>
  <si>
    <t>Orientering af bygningsrelaterede friarealer, tag- og facadearealer i forhold til verdenshjørner</t>
  </si>
  <si>
    <t>Designkoncept for udendørs anlæg</t>
  </si>
  <si>
    <t>Beplantningstype på terræn, tag og facade</t>
  </si>
  <si>
    <t>2.4</t>
  </si>
  <si>
    <t>Driftsaftale eller plejeplan for beplantningen</t>
  </si>
  <si>
    <t>2.6</t>
  </si>
  <si>
    <t>Social anvendelse af udearealer</t>
  </si>
  <si>
    <t>2.7</t>
  </si>
  <si>
    <t>Koncept for forbedringer af mikroklimaet</t>
  </si>
  <si>
    <t>2.8</t>
  </si>
  <si>
    <t>Kendetegn ved udearealernes indretningselementer</t>
  </si>
  <si>
    <t>SOC1.7</t>
  </si>
  <si>
    <t>Tryghed og sikkerhed</t>
  </si>
  <si>
    <t>Tekniske sikkerhedsanordninger</t>
  </si>
  <si>
    <t>Åbenhed og overblik</t>
  </si>
  <si>
    <t>1.8</t>
  </si>
  <si>
    <t>Information til beboere om brandsikring</t>
  </si>
  <si>
    <t>SOC2.1</t>
  </si>
  <si>
    <t>Tilgængelighed</t>
  </si>
  <si>
    <t>SOC2.3</t>
  </si>
  <si>
    <t>Forhold for cyklister</t>
  </si>
  <si>
    <t>1.2.1</t>
  </si>
  <si>
    <t>Cykelparkeringspladsernes placering</t>
  </si>
  <si>
    <t>1.2.2</t>
  </si>
  <si>
    <t>Cykelparkeringspladsernes indretningsniveau</t>
  </si>
  <si>
    <t>SOC3.1</t>
  </si>
  <si>
    <t>Gennemførelse af en arkitektkonkurrence</t>
  </si>
  <si>
    <t>Konkurrenceproces</t>
  </si>
  <si>
    <t>Implementering af det vindende projekt</t>
  </si>
  <si>
    <t>Udpegning af designteamet</t>
  </si>
  <si>
    <t>Gennemførelse af en totalentreprisekonkurrence</t>
  </si>
  <si>
    <t>Vægtning af arkitektonisk kvalitet</t>
  </si>
  <si>
    <t>Mulighed for variation i løsningsforslag</t>
  </si>
  <si>
    <t>Jurybedømmelse</t>
  </si>
  <si>
    <t>Forudgående variantundersøgelse</t>
  </si>
  <si>
    <t>SOC3.3</t>
  </si>
  <si>
    <t>Plandisponering</t>
  </si>
  <si>
    <t>Bygningstypens mulighed for differentieret anvendelse</t>
  </si>
  <si>
    <t>Fælles opholdsarealer og mødesteder inde i bygningen</t>
  </si>
  <si>
    <t>Fleksible og varierede anvendelsesmuligheder af fællesområder og kommunikationszoner</t>
  </si>
  <si>
    <t>1.2.3</t>
  </si>
  <si>
    <t>Supplerende tilbud til brugerne</t>
  </si>
  <si>
    <t>Indretning af boligen i fælles og individuelle områder</t>
  </si>
  <si>
    <t>Boligens fleksibilitet vedr. disponering af toilet- og baderum</t>
  </si>
  <si>
    <t>Interne indgangs- og adgangsområder</t>
  </si>
  <si>
    <t>Belysning med dagslys</t>
  </si>
  <si>
    <t>2.4.1</t>
  </si>
  <si>
    <t>Visuelle relationer til omgivelserne</t>
  </si>
  <si>
    <t>2.4.2</t>
  </si>
  <si>
    <t>Udsigt</t>
  </si>
  <si>
    <t>2.4.3</t>
  </si>
  <si>
    <t>Indkig i opholdsrum</t>
  </si>
  <si>
    <t>2.4.4</t>
  </si>
  <si>
    <t>Forbindelse mellem boliger og friarealer</t>
  </si>
  <si>
    <t>2.4.5</t>
  </si>
  <si>
    <t>Privat friareal (ude)</t>
  </si>
  <si>
    <t>Integreret udformningsdesign/møblerbarhedIntegreret indretningsdesign/møblerbarhed</t>
  </si>
  <si>
    <t>Depot- og opbevaringsarealer</t>
  </si>
  <si>
    <t>Tilslutninger til kommunikationsmedier (internet, telefon, tv)</t>
  </si>
  <si>
    <t>TEC1.1</t>
  </si>
  <si>
    <t>Brandsikring</t>
  </si>
  <si>
    <t xml:space="preserve">Basisindikator                                 </t>
  </si>
  <si>
    <t>TEC1.2</t>
  </si>
  <si>
    <t>TEC1.3</t>
  </si>
  <si>
    <t>Klimaskærmens kvalitet</t>
  </si>
  <si>
    <t>Isoleringskrav for bygningsdele</t>
  </si>
  <si>
    <t>Linjetab</t>
  </si>
  <si>
    <t>Dimensionerende transmissionstab for klimaskærmen</t>
  </si>
  <si>
    <t>Fugtsikring</t>
  </si>
  <si>
    <t>Vinduernes energimærke</t>
  </si>
  <si>
    <t>TEC1.4</t>
  </si>
  <si>
    <t>De tekniske systemers tilpasningsevne</t>
  </si>
  <si>
    <t>Planlægning</t>
  </si>
  <si>
    <t>Elevatorskakte</t>
  </si>
  <si>
    <t>3.1</t>
  </si>
  <si>
    <t>Varmesystem og varmefordeling</t>
  </si>
  <si>
    <t>3.2</t>
  </si>
  <si>
    <t>Kølesystem og kølefordeling</t>
  </si>
  <si>
    <t>4.1</t>
  </si>
  <si>
    <t xml:space="preserve">Systemintegration - tilstand og mulighed for udbygning </t>
  </si>
  <si>
    <t>4.2</t>
  </si>
  <si>
    <t>Integration af funktioner i et overordnet system</t>
  </si>
  <si>
    <t>TEC1.5</t>
  </si>
  <si>
    <t>Bærende konstruktioner</t>
  </si>
  <si>
    <t>Gulvbelægning</t>
  </si>
  <si>
    <t>Smudsopsamlingszone</t>
  </si>
  <si>
    <t>3.3</t>
  </si>
  <si>
    <t>Rengøringsvenlig indretning</t>
  </si>
  <si>
    <t>3.4</t>
  </si>
  <si>
    <t>Ventilationssystemets indblæsningskanaler</t>
  </si>
  <si>
    <t>TEC1.6</t>
  </si>
  <si>
    <t>Egnethed med henblik på nedtagning og genanvendelse</t>
  </si>
  <si>
    <t>Vurdering af materialernes ressourceudnyttelse</t>
  </si>
  <si>
    <t>PRO1.1</t>
  </si>
  <si>
    <t>Kvalitet i forberedelsen af projektet</t>
  </si>
  <si>
    <t>Indledende rådgivning</t>
  </si>
  <si>
    <t>Bæredygtighedsmål for projektet</t>
  </si>
  <si>
    <t>Brugerens indflydelse på energiforbruget</t>
  </si>
  <si>
    <t>PRO1.2</t>
  </si>
  <si>
    <t xml:space="preserve">Integreret design proces </t>
  </si>
  <si>
    <t>Brugerindflydelse</t>
  </si>
  <si>
    <t>Borgerdeltagelse</t>
  </si>
  <si>
    <t>Bæredygtighedsplan</t>
  </si>
  <si>
    <t>PRO1.3</t>
  </si>
  <si>
    <t>Vurdering og optimering af kompleksitet i planlægningen</t>
  </si>
  <si>
    <t>Energikoncept</t>
  </si>
  <si>
    <t>Vandkoncept</t>
  </si>
  <si>
    <t>Optimering af dagslys/kunstigt lys</t>
  </si>
  <si>
    <t>Affaldskoncept</t>
  </si>
  <si>
    <t>Målings- og overvågningskoncept</t>
  </si>
  <si>
    <t>Koncept til sikring af bygningens rengørings- og vedligeholdelsesvenlighed</t>
  </si>
  <si>
    <t>Vurdering af alternative løsninger ved hjælp af livscyklusvurderinger, LCA</t>
  </si>
  <si>
    <t>9.</t>
  </si>
  <si>
    <t>Vurdering af alternative løsninger baseret på levetidsomkostninger, LCC</t>
  </si>
  <si>
    <t>Koncept for klimasikring</t>
  </si>
  <si>
    <t>PRO1.4</t>
  </si>
  <si>
    <t>Integration af bæredygtighedsaspekter i udvælgelseskriterierne</t>
  </si>
  <si>
    <t>Integration af bæredygtighedsaspekter i tildelingskriterierne</t>
  </si>
  <si>
    <t>PRO1.5</t>
  </si>
  <si>
    <t>Vejledning om vedligehold og brug af bygningen</t>
  </si>
  <si>
    <t>Vejledning om vedligehold, inspektion og drift</t>
  </si>
  <si>
    <t>Opdatering af tegningsmateriale, skemaer, beregninger og anden dokumentation, som bygget</t>
  </si>
  <si>
    <t>Udfærdigelse af brugerhåndbogen</t>
  </si>
  <si>
    <t>PRO2.1</t>
  </si>
  <si>
    <t>Byggeplads/Byggeproces</t>
  </si>
  <si>
    <t xml:space="preserve">Minimering og sortering af affald på byggepladsen </t>
  </si>
  <si>
    <t>Lavt støj- og vibrationsniveau på byggepladsen</t>
  </si>
  <si>
    <t>Byggeplads med lavt støvniveau</t>
  </si>
  <si>
    <t>Miljøbeskyttelse på byggepladsen (miljøbeskyttelse af byggegrund)</t>
  </si>
  <si>
    <t>Energiforbrug på byggepladsen</t>
  </si>
  <si>
    <t>Naboinformation</t>
  </si>
  <si>
    <t>PRO2.2</t>
  </si>
  <si>
    <t>Dokumentation af kvalitet i udførelsen</t>
  </si>
  <si>
    <t>Dokumentation af de anvendte materialer og hjælpestoffer</t>
  </si>
  <si>
    <t>Måling af lufttætheden og termografisk undersøgelse</t>
  </si>
  <si>
    <t>Måling af lydisolering/støjbeskyttelse</t>
  </si>
  <si>
    <t>Fugtindhold i byggematerialer</t>
  </si>
  <si>
    <t>Commissioning</t>
  </si>
  <si>
    <t>Mikroområde</t>
  </si>
  <si>
    <t>Jordskælv</t>
  </si>
  <si>
    <t>Storm</t>
  </si>
  <si>
    <t>Oversvømmelse</t>
  </si>
  <si>
    <t>Udeluft - Finstøv-pm 10</t>
  </si>
  <si>
    <t>Udeluft - Ozon</t>
  </si>
  <si>
    <t>4.3</t>
  </si>
  <si>
    <t>Udeluft - Kvælstofoxid</t>
  </si>
  <si>
    <t>Udendørs støjniveau</t>
  </si>
  <si>
    <t>Jordbundsforhold</t>
  </si>
  <si>
    <t>Evaluering elektromagnetiske felter</t>
  </si>
  <si>
    <t>Radon</t>
  </si>
  <si>
    <t>Områdets og kvarterets image og tilstand</t>
  </si>
  <si>
    <t>Ekspertudtalelse</t>
  </si>
  <si>
    <t>Bygningens indflydelse</t>
  </si>
  <si>
    <t>Trafikforbindelser</t>
  </si>
  <si>
    <t>Placeringen af det nærmeste stoppested for et offentligt transportmiddel (bus, metro, tog osv.)</t>
  </si>
  <si>
    <t>Områdets dækning af cykelstier</t>
  </si>
  <si>
    <t>Vejnettes kvalitet</t>
  </si>
  <si>
    <t>Transportkoncept, trafikkoncept</t>
  </si>
  <si>
    <t>Parkeringskoncept</t>
  </si>
  <si>
    <t>Adgang til faciliteter i nærområdet</t>
  </si>
  <si>
    <t>Påkrævet/meget relevant</t>
  </si>
  <si>
    <t xml:space="preserve">Parker </t>
  </si>
  <si>
    <t xml:space="preserve">2. </t>
  </si>
  <si>
    <t>Ønskeligt/også relevant</t>
  </si>
  <si>
    <t>Emnets vægtning DGNB</t>
  </si>
  <si>
    <t>Bestemmelse af vægtning af centicubes/mønter DGNB</t>
  </si>
  <si>
    <t>Maks antal centicubes/mønter DGNB</t>
  </si>
  <si>
    <t>Rullemenu/afkrydsningsfelter</t>
  </si>
  <si>
    <t xml:space="preserve">Resultat jf. dialogark </t>
  </si>
  <si>
    <t>Emnets vægtning projektorganisation</t>
  </si>
  <si>
    <t>Emnets vægtning ift. kvalitet
Projektorganisation</t>
  </si>
  <si>
    <t>Hvem skal spørges om temaet? - rullemenu</t>
  </si>
  <si>
    <t>MILJØ KVALITET</t>
  </si>
  <si>
    <t>Vælg et af følgende:</t>
  </si>
  <si>
    <t>x</t>
  </si>
  <si>
    <t>Organisationsbestyrelse</t>
  </si>
  <si>
    <t>Byggeudvalg</t>
  </si>
  <si>
    <t>Mindre vigtigt</t>
  </si>
  <si>
    <t>Ansvarlig fremskaffelse af produkter</t>
  </si>
  <si>
    <t>Miljøbelastning</t>
  </si>
  <si>
    <t>Meget vigtigt</t>
  </si>
  <si>
    <t>Vigtigt</t>
  </si>
  <si>
    <t>Energi</t>
  </si>
  <si>
    <t>Andel af vedvarende energi</t>
  </si>
  <si>
    <t>Krav til energiramme</t>
  </si>
  <si>
    <t>Vand</t>
  </si>
  <si>
    <t>Installationer</t>
  </si>
  <si>
    <t>Spildevand</t>
  </si>
  <si>
    <t>Nedbør</t>
  </si>
  <si>
    <t>Beplantning</t>
  </si>
  <si>
    <t>Vægtning: SOC1.6 pkt. 2.4</t>
  </si>
  <si>
    <t>Bebyggelsestæthed</t>
  </si>
  <si>
    <t>Forurening</t>
  </si>
  <si>
    <t>Jordforurening - håndtering</t>
  </si>
  <si>
    <t xml:space="preserve">
</t>
  </si>
  <si>
    <t>ØKONOMISK  KVALITET</t>
  </si>
  <si>
    <t>Levetidsomkostninger</t>
  </si>
  <si>
    <t>Totaløkonomi</t>
  </si>
  <si>
    <t>Renhold</t>
  </si>
  <si>
    <t>Fleksibilitet</t>
  </si>
  <si>
    <t>Rumhøjder</t>
  </si>
  <si>
    <t>Nytteareal</t>
  </si>
  <si>
    <t>Sammenlægning af boliger</t>
  </si>
  <si>
    <t>Indervægges placering</t>
  </si>
  <si>
    <t xml:space="preserve">Installationer - føring </t>
  </si>
  <si>
    <t>Installationer - overkapacitet</t>
  </si>
  <si>
    <t>Vægtning: TEC1.4 pkt. 1.4.1, 1.4.2, 1.4.3, 2.1 og 2.2</t>
  </si>
  <si>
    <t>Konstruktioners bæreevne</t>
  </si>
  <si>
    <t>Private uderum/altaner</t>
  </si>
  <si>
    <t>Forebyggelse af byggeskader</t>
  </si>
  <si>
    <t>SOCIAL KVALITET</t>
  </si>
  <si>
    <t>Indeklima</t>
  </si>
  <si>
    <t>Temperatur</t>
  </si>
  <si>
    <t>Træk</t>
  </si>
  <si>
    <t xml:space="preserve">Lyd </t>
  </si>
  <si>
    <t>Luftkvalitet</t>
  </si>
  <si>
    <t>Vægtning: SOC1.2 pkt. 1</t>
  </si>
  <si>
    <t>Lys</t>
  </si>
  <si>
    <t>Brugerstyring</t>
  </si>
  <si>
    <t>Der etableres ingen udvendig solafskærmning</t>
  </si>
  <si>
    <t>Adgangsveje</t>
  </si>
  <si>
    <t>Udearealer</t>
  </si>
  <si>
    <t>Inventar</t>
  </si>
  <si>
    <t>Tryghed</t>
  </si>
  <si>
    <t>Cyklister</t>
  </si>
  <si>
    <t>Forebyggelse af uheld</t>
  </si>
  <si>
    <t>Hvilke af følgende udsagn passer på projektet (der kan sættes flere krydser):
-Der udarbejdes brandteknisk dokumentation, brandplaner og drifts- og vedligeholdelsesplaner.
-Der oprettes en funktions-/styre- og grænsefladematrix, der sikrer grænsefladekontrol af sikkerhedsrelevante anlæg.</t>
  </si>
  <si>
    <t>Der udarbejdes brandteknisk dokumentation, brandplaner og drifts- og vedligeholdelsesplaner.</t>
  </si>
  <si>
    <t>Der oprettes en funktions-/styre- og grænsefladematrix, der sikrer grænsefladekontrol af sikekrhedsrelevante anlæg.</t>
  </si>
  <si>
    <t>Udendørs belysning</t>
  </si>
  <si>
    <t>Arkitektonisk kvalitet</t>
  </si>
  <si>
    <t>Udbudsform</t>
  </si>
  <si>
    <t>Vægtning: SOC3.1 pkt. 1.2</t>
  </si>
  <si>
    <t>Fællesområder</t>
  </si>
  <si>
    <t>Vaske-/tørrefaciliteter</t>
  </si>
  <si>
    <t>Tv, radio og internet</t>
  </si>
  <si>
    <t>Adskillelse af soverum og opholdsrum</t>
  </si>
  <si>
    <t>Toilet og baderum (tilgængelighed)</t>
  </si>
  <si>
    <t>Indretningsmuligheder</t>
  </si>
  <si>
    <t xml:space="preserve">Placering af køkken </t>
  </si>
  <si>
    <t>Placering af bad</t>
  </si>
  <si>
    <t>Garderobe og opbevaringsmuligheder</t>
  </si>
  <si>
    <t>Adgangsveje til udearealer fra boligen</t>
  </si>
  <si>
    <t>TEKNISK KVALITET</t>
  </si>
  <si>
    <t>Brandsikkerhed</t>
  </si>
  <si>
    <t>U-værdier</t>
  </si>
  <si>
    <t>Varmetab</t>
  </si>
  <si>
    <t xml:space="preserve">Tæthed </t>
  </si>
  <si>
    <t>Fugt</t>
  </si>
  <si>
    <t>Renhold og vedligehold</t>
  </si>
  <si>
    <t>Konstruktioner</t>
  </si>
  <si>
    <t>Vinduespudsning</t>
  </si>
  <si>
    <t>Renhold omkring konstruktioner og tekniske installationer</t>
  </si>
  <si>
    <t>Materialer i vådrum</t>
  </si>
  <si>
    <t>PROCES KVALITET</t>
  </si>
  <si>
    <t>Byggeprogram</t>
  </si>
  <si>
    <t>Niveau for detaljering</t>
  </si>
  <si>
    <t>Integreret designproces</t>
  </si>
  <si>
    <t>Brugerudstyrs bidrag til energiforbrug</t>
  </si>
  <si>
    <t>Organisering af designteam</t>
  </si>
  <si>
    <t>Brugerinddragelse</t>
  </si>
  <si>
    <t>Naboinddragelse</t>
  </si>
  <si>
    <t>Koncepter</t>
  </si>
  <si>
    <t>Entrepriseudbud</t>
  </si>
  <si>
    <t>Udvælgelse (prækvalificering)</t>
  </si>
  <si>
    <t>D&amp;V-materiale</t>
  </si>
  <si>
    <t>As Built</t>
  </si>
  <si>
    <t>Brugermanual - indhold og ansvar</t>
  </si>
  <si>
    <t>Byggeplads</t>
  </si>
  <si>
    <t>Affald</t>
  </si>
  <si>
    <t>Støj og vibrationer</t>
  </si>
  <si>
    <t>Støv</t>
  </si>
  <si>
    <t>Miljøbeskyttelse (vand, kemi og beplantning)</t>
  </si>
  <si>
    <t>Nabohensyn</t>
  </si>
  <si>
    <t>Eftervisende dokumentation</t>
  </si>
  <si>
    <t>Byggevarer</t>
  </si>
  <si>
    <t>Lydforhold/akustik i bygningen</t>
  </si>
  <si>
    <t>Idriftsættelse</t>
  </si>
  <si>
    <t>GRUNDEN OG LOKALOMRÅDET</t>
  </si>
  <si>
    <t>Kortlægning af risici</t>
  </si>
  <si>
    <t>SITE1.1 + (PRO1.3)</t>
  </si>
  <si>
    <t>Oversvømmelse kan have store konsekvenser for et byggeri. Der er derfor en økonomisk gevinst i at overveje risikoen for oversvømmelse, nu og i fremtiden, inden området, hvor bygningen skal opføres, udpeges. Kommer byggeriet til at ligge på en grund med risiko for oversvømmelse fra enten regnvand, spildevand eller havvand? Og stiller bygherre krav til særlige forebyggende foranstaltninger, som skal indarbejdes i projektet (for eksempel en hævet kote for byggeriets nederste etage, pumper og lignende)</t>
  </si>
  <si>
    <t>Udfyldes af projektleder</t>
  </si>
  <si>
    <t>Jordbund - Erosionsrisiko og forurening</t>
  </si>
  <si>
    <t>SITE1.1 + (ENV2.3)</t>
  </si>
  <si>
    <t>Jordbundsforhold har betydning for, hvordan en bygning skal funderes og samtidig kan forurening i jorden have konsekvenser for miljø og sundhed. Ved stærk forurening skal jorden oprenses og fjernes. Der er derfor både en økonomisk og social gevinst i at undersøge jordbundsforholdene inden grunden udvælges. Har bygherre kendskab til jordbundsforholdene og er der risiko for at finde forurening i jorden eller at jorden eroderer (dvs. forsvinder over tid)?</t>
  </si>
  <si>
    <t xml:space="preserve">Nej </t>
  </si>
  <si>
    <t>Udeluftskvalitet</t>
  </si>
  <si>
    <t>Dårlig udeluftskvalitet kan have konsekvenser for brugernes sundhed og velbefindende. Der er derfor en social gevinst i at kortlægge udeluftskvaliteten i det område, hvor byggegrunden er placeret. Har bygherre kendskab til indholdet af finstøv, ozon og CO2 i udeluften?</t>
  </si>
  <si>
    <t>Ja / nej + Angiv de specifikke data eller henvis til bilag med oplysninger</t>
  </si>
  <si>
    <t>Støj</t>
  </si>
  <si>
    <t>Det udendørs støjniveau påvirker brugernes velbefindende og tilfredshed. Der er derfor en social gevinst i at kortlægge det udendørs støjniveau i det område, hvor byggegrunden er placeret. Er det udendørs støjniveau kortlagt for byggefeltet? Og er der særlige funktioner i byggeriet, som er følsomme overfor de registrerede støjniveauer?</t>
  </si>
  <si>
    <t>Ja / nej + vedlæg støjkort</t>
  </si>
  <si>
    <t xml:space="preserve">Ja </t>
  </si>
  <si>
    <t xml:space="preserve">Radon er naturligt fremkommende i undergrunden, men omfanget af radon, der udsiver fra jorden, og derved risikerer at trænge ind i boligen, afhænger af, hvor i landet man befinder sig. Høje koncentrationer af radon i boligen, som udsiver fra jorden, kan forøge risikoen for lunge- og luftvejsproblemer, og der er derved en social gevinst ved at kortlægge radonniveauet i det område, hvor byggegrunden er placeret. Hvilken radonklasse er byggefeltet eller området klassificeret som på http://boligejer.dk/guide-radon/0/26? Og forventes de valgte rådgivere at indarbejde særlige tiltag i projektet?
</t>
  </si>
  <si>
    <t>Klasse 0</t>
  </si>
  <si>
    <t>Klasse 1</t>
  </si>
  <si>
    <t>Klasse 2</t>
  </si>
  <si>
    <t>Klasse 3</t>
  </si>
  <si>
    <t>Klasse 4</t>
  </si>
  <si>
    <t>Elektromagnetisk stråling</t>
  </si>
  <si>
    <t xml:space="preserve">Ved mobiltelefonanlæg og højspændingsledninger findes elektromagnetiske felter. Der er uklarheder omkring, hvorvidt daglig udsættelse for stråler fra sådanne felter øger risikoen for kræft og andre sygdomme, da forskere, hverken har kunnet be- eller afkræfte dette. Der er derfor en social gevinst ved at kortlægge, hvor høj stråling, der er fra elektromagnetiske felter i det område, hvor byggegrunden er placeret. Har bygherre kendskab til elektromagnetiske felter og højspændingsledninger i området omkring byggefeltet? </t>
  </si>
  <si>
    <t xml:space="preserve">Ja/Nej, hvis ja, beskriv Og hvilke immissionsværdier er oplyst for henholdsvis elektromagnetiske felter eller højspænding i Volt/meter eller kilovolt/meter?
</t>
  </si>
  <si>
    <t>Image og tilstand</t>
  </si>
  <si>
    <t>Kortlægning</t>
  </si>
  <si>
    <t>Image og tilstand af det område, hvor byggegrunden er placeret, har stor betydning for, hvor attraktiv en bygning er, og har samtidig også en indflydelse på brugernes trivsel. Der er derfor både en økonomisk og social gevinst i at kortlægge image og tilstand af området, inden byggegrunden udpeges. Er områdets image og tilstand positivt eller negetivt, hvis man spørger en ejendomsmægler eller en uvildig arkitekt?</t>
  </si>
  <si>
    <t>Områdets image og tilstand er før projektet overvejende positivt</t>
  </si>
  <si>
    <t>Områdets image og tilstand er før projektet overvejende negativt</t>
  </si>
  <si>
    <t>Indflydelse/bidrag til forbedring</t>
  </si>
  <si>
    <t>Opførelse af en ny bygning kan bidrage til en forbedring af området, eksempelvis ved at gøre området attraktivt for en større befolkningsgruppe. Der er derfor en social gevinst ved at vælge et område, hvor bygningen kan have en positiv indflydelse på udviklingen. Hvor vigtigt er det, at projektet har en positiv indflydelse på udviklingen i området?</t>
  </si>
  <si>
    <t>Det er vigtigt</t>
  </si>
  <si>
    <t>Det er ikke vigtigt</t>
  </si>
  <si>
    <t>Stillingtagen til kriminalprævention</t>
  </si>
  <si>
    <t>Kriminalitetsniveauet i området, hvor byggegrunden er placeret har stor betydning for, hvor attraktiv en bygning er, og har samtidig indflydelse på brugernes tryghed og sikkerhed. Der er derfor både en økonomisk og en social gevinst ved at kortlægge kriminaliteten i området, inden byggegrunden udpeges. Er området plaget af kriminalitet? Og skal der indarbejdes kriminalpræventive tiltag i projektet?</t>
  </si>
  <si>
    <t>Løsningskatalog med konkrete tiltag</t>
  </si>
  <si>
    <t>Det betragtes positivt for bæredygtigheden i området, hvis der i forbindelse med udpegning af byggegrunden udarbejdes et løsningskatalog med konkrete tiltag til, hvordan bygningen kan bidrage positivt til områdets udvikling. Skal rådgiver udarbejde et løsningskatalog, der beskriver hvordan projektet bidrager positivt til områdets udvikling?</t>
  </si>
  <si>
    <t>Trafikforhold</t>
  </si>
  <si>
    <t>Adgangsveje - Bil, cykel og offentlig transport</t>
  </si>
  <si>
    <t>Gode adgangsforhold for bil, cykel og offentlig transport har betydning for et områdes attraktivitet. Der er en økonomisk fordel ved at vælge en byggegrund med god adgang for trafik, da dette er med til at forøge bygningens værdi. Hvordan er adgangsveje og stiforbindelser i området for personbiler, cyklister og forgængere? Og er der krav til håndtering af personbiler, varelevering, cyklister og fodgængere, der skal overholdes i projektet?</t>
  </si>
  <si>
    <t>Beskriv adgangsvejene og krav til håndtering af blød og hård trafik på grunden</t>
  </si>
  <si>
    <t>Parkering - Biler, Handicap og cykler</t>
  </si>
  <si>
    <t xml:space="preserve">Gode parkeringsmuligheder for bil, cykel og handikapparkering har betydning for et områdes attraktivitet. Der er en økonomisk fordel ved at vælge en byggegrund med gode parkeringsforhold, da dette er med til at forøge bygningens værdi. Hvilke krav stiller projektet til parkeringsmuligheder for personbiler, cykler og handikapkøretøjer. </t>
  </si>
  <si>
    <t>Beskriv krav til parkering</t>
  </si>
  <si>
    <t>Faciliteter (ladestandere, bilvask, "kiss'n'ride")</t>
  </si>
  <si>
    <t xml:space="preserve">Gode faciliteter for bilister, eksempelvis ladestandere til elbiler, bilvask og afsætningsområder ("kiss'n'ride") er medvirkende til at øge områdets attraktivitet. Der er en økonomisk fordel ved at vælge en byggegrund med gode parkeringsforhold, da dette er med til at forøge bygningens værdi. Hvilke faciliteter ønsker bygherre eller Kommunen, der indarbejdes i projektet for bilister? </t>
  </si>
  <si>
    <t>Beskriv krav til faciliteter for bilister</t>
  </si>
  <si>
    <t>Servicefunktioner</t>
  </si>
  <si>
    <t>Kortlægning i området</t>
  </si>
  <si>
    <t xml:space="preserve">God adgang til servicefunktioner i området, herunder skoler, indkøbsmuligheder, fitnesscentre etc., er medvirkende til at gøre et område mere attraktivt. Der er derfor en økonomisk fordel ved at vælge en byggegrund, der ligger i nærheden af sådanne servicefunktioner. Ligger byggeriet tæt på eller langt fra følgende servicefunktioner:
1. Spisesteder eller et bageri
2. Butikker, der sælger fødevarer eller et apotek
4. Uddannelse eller børnepasningsmuligheder
5. Offentlige administrationsbygninger, der yder borgerservice eller andre offentlige faciliteter
6. Sundhedsfaciliteter så som læge, kiropraktor, genoptræningsklinik
7. Sportsfaciliteter så som fitnescenter, stadionanlæg, sportsklubber
8. Posthus, bank, skræddere, tømmere mv.?
</t>
  </si>
  <si>
    <t>Ja/Nej
Vedlæg evt. et oversigtskort med markeringer</t>
  </si>
  <si>
    <t>God adgang til servicefunktioner i området, herunder skoler, indkøbsmuligheder, fitnesscentre etc., er medvirkende til at gøre et område mere attraktivt. Der er derfor en økonomisk fordel ved at vælge en byggegrund, der ligger i nærheden af sådanne servicefunktioner. Ligger byggeriet tæt på et eller flere fritidstilbud (eksempelvis biblioteker, biografer, svømmebade, danseskoler, billedskoler, bowlinghal)?</t>
  </si>
  <si>
    <t xml:space="preserve">God adgang til servicefunktioner i området, herunder skoler, indkøbsmuligheder, fitnesscentre etc., er medvirkende til at gøre et område mere attraktivt. Der er derfor en økonomisk fordel ved at vælge en byggegrund, der ligger i nærheden af sådanne servicefunktioner. Stiller bygherre krav om, at der skal indarbejdes servicefunktioner i byggeriet eller på byggegrunden? </t>
  </si>
  <si>
    <t>Ja/nej. Hvis ja; beskriv hvilke funktioner, der indarbejdes</t>
  </si>
  <si>
    <t>Teknik</t>
  </si>
  <si>
    <t>Antal valgte kuber
DGNB</t>
  </si>
  <si>
    <t>Antal mulige kuber</t>
  </si>
  <si>
    <t xml:space="preserve">Meget vigtigt </t>
  </si>
  <si>
    <t xml:space="preserve">Mindre vigtigt </t>
  </si>
  <si>
    <t>Eksempel</t>
  </si>
  <si>
    <t>Ordforklaring: FSC og PEFC = Internationalt anerkendte mærkningsordninger for bæredygtig skovvækst. Mærkningsordninger sikrer, at produktet er fremskaffet og fremstillet på en bæredygtig måde.</t>
  </si>
  <si>
    <t xml:space="preserve">Mindre vigtigt
</t>
  </si>
  <si>
    <t xml:space="preserve">Hvad er der afsat af anlægsomkostninger til projektet ekskl. rådgiverhonorar, etablering af byggeplads, byggemodning og køb af byggegrund?
</t>
  </si>
  <si>
    <t>&gt; 16.200 kr/m2</t>
  </si>
  <si>
    <t>Inviteret konkurrence uden prækvalifikation med arkitektfagdommer</t>
  </si>
  <si>
    <t>Intet udbud, men arkitekten afleverer meget forskellige skitseforslag</t>
  </si>
  <si>
    <t>Ordforklaring:
CSR (Corporate Social Responsibilty) beskriver en virksomheds formulerede politik om håndtering og målsætninger for miljømæssig og social bæredygtighed.</t>
  </si>
  <si>
    <t>Kvalitet af aflevering til driftspersonale</t>
  </si>
  <si>
    <t>Ordforklaring:
- Mekanisk miljøpåvirkning = Påvirkning af jord (rystelser og sammentrykning) forårsaget af maskiner.</t>
  </si>
  <si>
    <t>Vedligehold af beplantning</t>
  </si>
  <si>
    <t>Plantearter</t>
  </si>
  <si>
    <t>ENV1.1 + ENV2.1
Vægtning: 60% af summen af ENV1.1 + ENV2.1 pkt 1 og 2</t>
  </si>
  <si>
    <t>ENV2.2
Vægtning: 20% af ENV2.2</t>
  </si>
  <si>
    <t>ENV2.3 + SOC1.6
Vægtning: ENV2.3 pkt. 2.2 + SOC1.6 pkt. 2.3</t>
  </si>
  <si>
    <t>ENV2.3
Vægtning: ENV2.3 pkt. 1.2</t>
  </si>
  <si>
    <t>ENV2.3
Vægtning: ENV2.3 pkt. 1.1</t>
  </si>
  <si>
    <t>ECO2.1
Vægtning: ECO2.1 pkt 2</t>
  </si>
  <si>
    <t>ECO2.1
Vægtning: ECO2.1 pkt. 3</t>
  </si>
  <si>
    <t>ECO2.1 + TEC1.4
Vægtning: ECO2.1 pkt. 7.1, 7.2 og 7.3 + TEC1.4 pkt. 1.1, 1.2 og 1.3</t>
  </si>
  <si>
    <t>Luftkvalitet - mekanisk ventilation</t>
  </si>
  <si>
    <t>Luftkvalitet - afgasning</t>
  </si>
  <si>
    <t>SOC1.2
Vægtning: SOC1.2 pkt. 2</t>
  </si>
  <si>
    <t>SOC1.4 
Vægtning: SOC1.4 pkt. 1 + 2</t>
  </si>
  <si>
    <t>SOC1.4 
Vægtning: SOC1.4 pkt. 8</t>
  </si>
  <si>
    <t>SOC1.4 
Vægtning: SOC1.4 pkt. 7</t>
  </si>
  <si>
    <t>SOC1.4 
Vægtning: SOC1.4 pkt. 3</t>
  </si>
  <si>
    <t>SOC1.5
Vægtning: SOC1.5 pkt. 5</t>
  </si>
  <si>
    <t>SOC1.5
Vægtning: SOC1.5 pkt. 1</t>
  </si>
  <si>
    <t>SOC1.5
Vægtning: SOC1.5 pkt. 2</t>
  </si>
  <si>
    <t>Tilgængelighed generelt</t>
  </si>
  <si>
    <t>Cykelfaciliteter</t>
  </si>
  <si>
    <t>SOC2.3
Vægtning: SOC2.3 pkt 1.2.1 + 1.2.2</t>
  </si>
  <si>
    <t xml:space="preserve">Hvilke af følgende udsagn passer på projektet:
- Arkitektkonkurrence
- Totalentreprisekonkurrence 
- Inviteret konkurrence uden prækvalifikation med arkitektfagdommer
- Intet udbud, men arkitekten afleverer meget forskellige skitseforslag
</t>
  </si>
  <si>
    <t xml:space="preserve">Ved arkitektkonkurrence; Hvilket af følgende udsagn passer på projektet:
1. Åben konkurrence
2. Indbudt konkurrence
</t>
  </si>
  <si>
    <t>Frihed i løsningsforslag (Ved totalentreprisekonkurrence)</t>
  </si>
  <si>
    <t>Vægtning i udbud (Ved totalentreprisekonkurrence)</t>
  </si>
  <si>
    <t>Vægtning: SOC3.1 
Vægtning: pkt. 2.3</t>
  </si>
  <si>
    <t>Indkig</t>
  </si>
  <si>
    <t>SOC3.3
Vægtning: SOC3.3 pkt. 1.1</t>
  </si>
  <si>
    <t>SOC3.3
Vægtning: SOC3.3 pkt. 1.2.3</t>
  </si>
  <si>
    <t>SOC3.3
Vægtning: SOC3.3 pkt. 2.8</t>
  </si>
  <si>
    <t>SOC3.3
Vægtning: SOC3.3 pkt. 2.1</t>
  </si>
  <si>
    <t>SOC3.3
Vægtning: SOC3.3 pkt. 2.7</t>
  </si>
  <si>
    <t>SOC3.3
Vægtning: SOC3.3 pkt. 2.4.4</t>
  </si>
  <si>
    <t>Vægtning: SOC3.1 pkt. 2.2</t>
  </si>
  <si>
    <t>TEC1.7</t>
  </si>
  <si>
    <t>Vinduer - energibalance</t>
  </si>
  <si>
    <t>TEC1.3
Vægtning: TEC1.3 pkt. 6</t>
  </si>
  <si>
    <t>TEC1.5
Vægtning: TEC1.5 pkt. 2</t>
  </si>
  <si>
    <t>TEC1.5
Vægtning: TEC1.5 pkt. 3.1</t>
  </si>
  <si>
    <t>Koncepter for bæredygtige tiltag</t>
  </si>
  <si>
    <t>PRO1.1
Vægtning: PRO1.1 pkt. 1 + 2</t>
  </si>
  <si>
    <t>PRO1.2
Vægtning: PRO1.2 pkt. 1</t>
  </si>
  <si>
    <t>PRO1.2
Vægtning: PRO1.2 pkt. 2</t>
  </si>
  <si>
    <t>PRO1.2
Vægtning: PRO1.2 pkt. 3</t>
  </si>
  <si>
    <t>PRO1.2
Vægtning: PRO1.2 pkt. 4</t>
  </si>
  <si>
    <t>PRO1.5
Vægtning: PRO1.5 pkt. 1</t>
  </si>
  <si>
    <t>PRO1.5
Vægtning: PRO1.5 pkt. 2</t>
  </si>
  <si>
    <t>PRO1.5
Vægtning: PRO1.5 pkt. 3</t>
  </si>
  <si>
    <t>PRO2.1
Vægtning: PRO2.1 pkt. 1</t>
  </si>
  <si>
    <t>PRO2.1
Vægtning: PRO2.1 pkt. 2</t>
  </si>
  <si>
    <t>PRO2.1
Vægtning: PRO2.1 pkt. 3</t>
  </si>
  <si>
    <t>PRO2.1
Vægtning: PRO2.1 pkt. 4</t>
  </si>
  <si>
    <t>PRO2.1
Vægtning: PRO2.1 pkt. 5</t>
  </si>
  <si>
    <t>PRO2.1
Vægtning: PRO2.1 pkt. 6</t>
  </si>
  <si>
    <t>PRO2.2
Vægtning: PRO2.2 pkt. 1</t>
  </si>
  <si>
    <t>PRO2.2
Vægtning: PRO2.2 pkt. 2.2</t>
  </si>
  <si>
    <t>Inspektion af kloak</t>
  </si>
  <si>
    <t>PRO2.2
Vægtning PRO 2.2 pkt. 2.4</t>
  </si>
  <si>
    <t>Foretages TV-inspektion af kloakken, for at dokumentere korrekt udførelse?</t>
  </si>
  <si>
    <t>Radonmåling</t>
  </si>
  <si>
    <t>PRO2.2
Vægtning PRO 2.2 pkt. 2.5</t>
  </si>
  <si>
    <t>Foretages TV-inspektion af kloakken?</t>
  </si>
  <si>
    <t>PRO 2.2</t>
  </si>
  <si>
    <t>Skal der ske opfølgning på de idriftsatte installationer i det første år af byggeriets drift ('re-commissioning') og hvem skal være ansvarlig for denne opfølgning?</t>
  </si>
  <si>
    <t>5.1</t>
  </si>
  <si>
    <t>6.1</t>
  </si>
  <si>
    <t>6.2</t>
  </si>
  <si>
    <t>2.5</t>
  </si>
  <si>
    <t>1.9</t>
  </si>
  <si>
    <t>1.10</t>
  </si>
  <si>
    <t>5.2</t>
  </si>
  <si>
    <t>5.3</t>
  </si>
  <si>
    <t>6.3</t>
  </si>
  <si>
    <t>8.1</t>
  </si>
  <si>
    <t>8.2</t>
  </si>
  <si>
    <t>8.3</t>
  </si>
  <si>
    <t>8.4</t>
  </si>
  <si>
    <t>8.5</t>
  </si>
  <si>
    <t>8.6</t>
  </si>
  <si>
    <t>8.7</t>
  </si>
  <si>
    <t>8.8</t>
  </si>
  <si>
    <t>8.9</t>
  </si>
  <si>
    <t>8.10</t>
  </si>
  <si>
    <t>8.11</t>
  </si>
  <si>
    <t>8.12</t>
  </si>
  <si>
    <t>8.13</t>
  </si>
  <si>
    <t>8.14</t>
  </si>
  <si>
    <t>8.15</t>
  </si>
  <si>
    <t>3.5</t>
  </si>
  <si>
    <t>3.6</t>
  </si>
  <si>
    <t>6.4</t>
  </si>
  <si>
    <t>6.5</t>
  </si>
  <si>
    <t>6.6</t>
  </si>
  <si>
    <t>7.4</t>
  </si>
  <si>
    <t>7.5</t>
  </si>
  <si>
    <t>4.4</t>
  </si>
  <si>
    <t>Projekt-/ kontrakt nr.:</t>
  </si>
  <si>
    <t>NKE16-</t>
  </si>
  <si>
    <t>teknik</t>
  </si>
  <si>
    <t>samlet score</t>
  </si>
  <si>
    <t>Projekt navn</t>
  </si>
  <si>
    <t>økonomi</t>
  </si>
  <si>
    <t>proces</t>
  </si>
  <si>
    <t>DGNB Auditor:</t>
  </si>
  <si>
    <t>social</t>
  </si>
  <si>
    <t>område</t>
  </si>
  <si>
    <t>forklaring</t>
  </si>
  <si>
    <t>skal udfyldes</t>
  </si>
  <si>
    <t>beregnes automatisk</t>
  </si>
  <si>
    <t>Evalueringsmatrixe Etageejendomme og rækkehuse 2016 , NER16// ændringsdato 16. Januar 2016 // Copyright DGNB GmbH / GBC</t>
  </si>
  <si>
    <t>Nr.</t>
  </si>
  <si>
    <t>Checklist-point 
(TLP - Auditor)</t>
  </si>
  <si>
    <t>vægtningsfaktor</t>
  </si>
  <si>
    <t>Vægtet point</t>
  </si>
  <si>
    <t>performance index</t>
  </si>
  <si>
    <t>vægtning</t>
  </si>
  <si>
    <t xml:space="preserve">opnåede point
(gruppen)
</t>
  </si>
  <si>
    <t>performance index (gruppe)</t>
  </si>
  <si>
    <t>gruppe vægtning</t>
  </si>
  <si>
    <t>Performance index 
samlet score</t>
  </si>
  <si>
    <t>Kommentarer / Bemærkninger AUDITOR</t>
  </si>
  <si>
    <t>TLP Kriterium</t>
  </si>
  <si>
    <t>TLP Indikatorer</t>
  </si>
  <si>
    <t>Max</t>
  </si>
  <si>
    <t>score</t>
  </si>
  <si>
    <t>Grænseværdi</t>
  </si>
  <si>
    <t>Interdisciplinært designteam</t>
  </si>
  <si>
    <t>Koncept til understøtning af bygningens fleksibilitet i forhold til ombygning, nedrivning og genanvendelse</t>
  </si>
  <si>
    <t>10.</t>
  </si>
  <si>
    <t>Sikring af bæredygtighedsaspekter i forbindelse med udbudsmateriale og ordretildeling</t>
  </si>
  <si>
    <t xml:space="preserve">7. </t>
  </si>
  <si>
    <t>Byggeteknisk udførelse</t>
  </si>
  <si>
    <t>Kontrol af udførelse af kloak</t>
  </si>
  <si>
    <t>Forskallingstræ</t>
  </si>
  <si>
    <t>Graden af jordforurening</t>
  </si>
  <si>
    <t>Grundens biofaktor</t>
  </si>
  <si>
    <t>Bevaring af træer</t>
  </si>
  <si>
    <t>Jordbalance og jordhåndtering</t>
  </si>
  <si>
    <t>Fri rumhøjde</t>
  </si>
  <si>
    <t>Fleksible planløsninger</t>
  </si>
  <si>
    <t>Råhuset udformning og fleksibilitet</t>
  </si>
  <si>
    <t>Tekniske installationer, ventilation/klimateknik</t>
  </si>
  <si>
    <t>Tekniske installationer, køling</t>
  </si>
  <si>
    <t>Tekniske installationer, afløb</t>
  </si>
  <si>
    <t>Levetid facade</t>
  </si>
  <si>
    <t>Levetid tag</t>
  </si>
  <si>
    <t>Levetid vinduer og yderdøre</t>
  </si>
  <si>
    <t>Passive designstrategier</t>
  </si>
  <si>
    <t>Kvalitet af lokalisering</t>
  </si>
  <si>
    <t>Blandet anvendelse</t>
  </si>
  <si>
    <t>Operativ temperatur/vinterperiode (kvantitativ)</t>
  </si>
  <si>
    <t>Træk/vinterperiode (kvalitativ)</t>
  </si>
  <si>
    <t>Asymmetrisk strålingstemperatur og gulvtemperatur/vinterperiode (kvalitativ)</t>
  </si>
  <si>
    <t>Kvalitet af udearealer</t>
  </si>
  <si>
    <t>Overskuelige veje og parkeringspladser</t>
  </si>
  <si>
    <t>Vejbelysning af adgangsveje og parkering</t>
  </si>
  <si>
    <t>Adgangsveje til cykelparkeringspladser</t>
  </si>
  <si>
    <t>Stier og opholdsaraler</t>
  </si>
  <si>
    <t>Cykelparkeringspladsernes antal og indretningsprincip</t>
  </si>
  <si>
    <t>Cykelparkeringspladsernes afstand i forhold til hovedindgangen/indgange</t>
  </si>
  <si>
    <t>Tiltag til at sikre arkitektonisk kvalitet</t>
  </si>
  <si>
    <t xml:space="preserve">3. </t>
  </si>
  <si>
    <t>Ekstra brandsikring</t>
  </si>
  <si>
    <t>Brandteknisk dimensionering</t>
  </si>
  <si>
    <t>Akustik og lydisolering</t>
  </si>
  <si>
    <r>
      <t>Lufttæthed, infiltration q</t>
    </r>
    <r>
      <rPr>
        <vertAlign val="subscript"/>
        <sz val="10"/>
        <rFont val="Arial"/>
        <family val="2"/>
      </rPr>
      <t>50</t>
    </r>
  </si>
  <si>
    <t>Alle komponenters tilgængelighed i teknikcentralen med henblik på modernisering og en senere udskiftning</t>
  </si>
  <si>
    <t>Tilgængelighed i vertikale skakter</t>
  </si>
  <si>
    <t>1.4.1</t>
  </si>
  <si>
    <t>skakter til VVS, el- og itforsyning</t>
  </si>
  <si>
    <t>1.4.2</t>
  </si>
  <si>
    <t>Ventilationsskakte</t>
  </si>
  <si>
    <t>1.4.3</t>
  </si>
  <si>
    <t>Vedligehold og rengøringsvenlighed</t>
  </si>
  <si>
    <t>Vinduer og glasfacade</t>
  </si>
  <si>
    <t>Arbejdsindsats ved nedtagning af bygningsdelen</t>
  </si>
  <si>
    <t>Koncept for nedtagning og genanvendelse</t>
  </si>
  <si>
    <t>Måling og registrering, indregulering og performance-test</t>
  </si>
  <si>
    <t>Commissioning-processen</t>
  </si>
  <si>
    <t>TEC1.8</t>
  </si>
  <si>
    <t>Dokumentation med miljøvaredeklerationer (EPD)</t>
  </si>
  <si>
    <t>Områdekvalitet</t>
  </si>
  <si>
    <t>Udeluft - partikler</t>
  </si>
  <si>
    <t>Terrænsænkning / jordskred</t>
  </si>
  <si>
    <t>Placeringen af det nærmeste stoppested for et offentligt transportmiddel</t>
  </si>
  <si>
    <t>Parker</t>
  </si>
  <si>
    <t>Summen:</t>
  </si>
  <si>
    <t>Erläuterungen zum Berechnungsverfahren:</t>
  </si>
  <si>
    <r>
      <t xml:space="preserve">&gt; </t>
    </r>
    <r>
      <rPr>
        <u/>
        <sz val="10"/>
        <rFont val="Arial"/>
        <family val="2"/>
      </rPr>
      <t>Checklistenpunkte</t>
    </r>
    <r>
      <rPr>
        <sz val="10"/>
        <rFont val="Arial"/>
        <family val="2"/>
      </rPr>
      <t xml:space="preserve"> werden gerundet:</t>
    </r>
  </si>
  <si>
    <t xml:space="preserve"> - bei maximal 10 erreichbaren Punkten auf die 2. Nachkommastelle (Bsp: 5,73 CP)</t>
  </si>
  <si>
    <t xml:space="preserve"> - bei maximal 100 erreichbaren Punkten auf die 1. Nachkommastelle (Bsp: 57,3 CP)</t>
  </si>
  <si>
    <r>
      <t xml:space="preserve">&gt; </t>
    </r>
    <r>
      <rPr>
        <u/>
        <sz val="10"/>
        <rFont val="Arial"/>
        <family val="2"/>
      </rPr>
      <t>Berechnete Bewertungspunkte</t>
    </r>
    <r>
      <rPr>
        <sz val="10"/>
        <rFont val="Arial"/>
        <family val="2"/>
      </rPr>
      <t xml:space="preserve"> werden gerundet:</t>
    </r>
  </si>
  <si>
    <t xml:space="preserve"> - auf die 2. Nachkommastelle (Bsp: 6,25 BP)</t>
  </si>
  <si>
    <r>
      <t xml:space="preserve">&gt; </t>
    </r>
    <r>
      <rPr>
        <u/>
        <sz val="10"/>
        <rFont val="Arial"/>
        <family val="2"/>
      </rPr>
      <t>gewichtete Berechnungspunkte</t>
    </r>
    <r>
      <rPr>
        <sz val="10"/>
        <rFont val="Arial"/>
        <family val="2"/>
      </rPr>
      <t xml:space="preserve"> werden gerundet:</t>
    </r>
  </si>
  <si>
    <t xml:space="preserve"> - auf die 2. Nachkommastelle (Bsp: 3,13 BP (gewichtet))</t>
  </si>
  <si>
    <r>
      <t>&gt;</t>
    </r>
    <r>
      <rPr>
        <u/>
        <sz val="10"/>
        <rFont val="Arial"/>
        <family val="2"/>
      </rPr>
      <t xml:space="preserve"> Erfüllungsgrade der Kriterien</t>
    </r>
    <r>
      <rPr>
        <sz val="10"/>
        <rFont val="Arial"/>
        <family val="2"/>
      </rPr>
      <t xml:space="preserve"> werden gerundet:</t>
    </r>
  </si>
  <si>
    <t xml:space="preserve"> - auf die 1. Nachkommastelle(Bsp: 72,5 %)</t>
  </si>
  <si>
    <r>
      <t>&gt;</t>
    </r>
    <r>
      <rPr>
        <u/>
        <sz val="10"/>
        <rFont val="Arial"/>
        <family val="2"/>
      </rPr>
      <t xml:space="preserve"> Erfüllungsgrade der Hauptkriteriengruppen</t>
    </r>
    <r>
      <rPr>
        <sz val="10"/>
        <rFont val="Arial"/>
        <family val="2"/>
      </rPr>
      <t xml:space="preserve"> werden AB-gerundet:</t>
    </r>
  </si>
  <si>
    <t xml:space="preserve"> - auf die 1. Nachkommastelle(Bsp: 64,97 % werden dargestellt als 64,9 %, da 65 % nicht erreicht wurden.)</t>
  </si>
  <si>
    <r>
      <t xml:space="preserve">&gt; </t>
    </r>
    <r>
      <rPr>
        <u/>
        <sz val="10"/>
        <rFont val="Arial"/>
        <family val="2"/>
      </rPr>
      <t>Gesamerfüllungsgrad</t>
    </r>
    <r>
      <rPr>
        <sz val="10"/>
        <rFont val="Arial"/>
        <family val="2"/>
      </rPr>
      <t xml:space="preserve"> wird AB-gerundet:</t>
    </r>
  </si>
  <si>
    <t>[in der Folge wird für die Notenbewertung - die nicht in dieser Tabelle dargestellt wird - AUFgerundet:</t>
  </si>
  <si>
    <t xml:space="preserve"> - auf die 2. Nachkommastelle(Bsp: 2,004 werden dargestellt als 2,01, da 2,0 (glatt) nicht erreicht wurde.)]</t>
  </si>
  <si>
    <t>Vægtning</t>
  </si>
  <si>
    <t>Procent af kvalitet</t>
  </si>
  <si>
    <t>Procent af kriterie</t>
  </si>
  <si>
    <t>SOC1.6+SOC3.3
Vægtning: SOC1.6 pkt. 1.3 og 1.5 + SOC3.3 pkt 2.4.5</t>
  </si>
  <si>
    <t>ECO2.2
Vægtning: ECO2.2 pkt. 2</t>
  </si>
  <si>
    <t>SOC1.1
Vægtning: SOC1.1 pkt. 1 + 4</t>
  </si>
  <si>
    <t>SOC1.1
Vægtning: SOC1.1 pkt. 2 + 5</t>
  </si>
  <si>
    <t>SOC1.1
Vægtning: SOC1.1 pkt. 3 + 6</t>
  </si>
  <si>
    <t>SOC2.1
Vægtning: 50 % af SOC2.1</t>
  </si>
  <si>
    <t>SOC1.6
Vægtning: SOC1.6 pkt. 2.2, 2.6 + 80% af 2.8</t>
  </si>
  <si>
    <t>SOC2.3
Vægtning: SOC2.3 pkt 1.1</t>
  </si>
  <si>
    <t>SOC2.3
Vægtning: SOC2.3 pkt 1.3</t>
  </si>
  <si>
    <t xml:space="preserve">TEC1.1 pkt. 3.6
</t>
  </si>
  <si>
    <t>Brandteknisk dokumentation</t>
  </si>
  <si>
    <t>SOC3.3
Vægtning: 50% SOC3.3 pkt. 2.3</t>
  </si>
  <si>
    <t>Vægtning: SOC3.3 pkt. 2.4.1 + 2.4.2</t>
  </si>
  <si>
    <t>SOC3.3
Vægtning: SOC3.3 pkt. 2.4.3</t>
  </si>
  <si>
    <t xml:space="preserve">PRO1.4
</t>
  </si>
  <si>
    <t>Spørgsmål til dialogparter</t>
  </si>
  <si>
    <t>Spørgsmål til projektforudsætninger</t>
  </si>
  <si>
    <t>PRO1.3
Vægtning: PRO1.3 + ECO2.2 pkt. 3</t>
  </si>
  <si>
    <t>Indbrudssikring og kriminalpræventive tiltag</t>
  </si>
  <si>
    <t>ENV2.2
Vægtning: 60% af ENV2.2</t>
  </si>
  <si>
    <t>SOC1.6
Vægtning: 20% af SOC1.6 pkt 2.8</t>
  </si>
  <si>
    <t>SOC1.6
Vægtning: SOC1.6 pkt. 1.2 + 1.6</t>
  </si>
  <si>
    <t>ENV2.3
Vægtning: ENV2.3 pkt. 2.1 + 2.2+3</t>
  </si>
  <si>
    <t>ECO2.2
Vægtning: ECO2.2 pkt. 1.1 + 1.2 +1.3</t>
  </si>
  <si>
    <t>ECO1.1
Vægtning: 13% af ECO1.1</t>
  </si>
  <si>
    <t>ECO2.1
Vægtning: ECO2.1 pkt 1</t>
  </si>
  <si>
    <t>ECO2.1
Vægtning: ECO2.1 pkt 5</t>
  </si>
  <si>
    <t>ECO2.1
Vægtning: 75% af ECO2.1 pkt 6</t>
  </si>
  <si>
    <t>ECO2.1
Vægtning: 25 % af ECO2.1 pkt. 6</t>
  </si>
  <si>
    <t>SOC1.7
Vægtning: SOC1.7 pkt 1.1 + pkt. 1.5</t>
  </si>
  <si>
    <t>SOC1.7
Vægtning: SOC1.7 pkt 1.2, 1.3 og pkt. 1.4</t>
  </si>
  <si>
    <t>SOC3.3
Vægtning: SOC3.3 pkt. 1.2.1 + 1.2.2</t>
  </si>
  <si>
    <t>SOC3.3
Vægtning: SOC3.3 pkt. 2.2</t>
  </si>
  <si>
    <t>SOC3.3 
Vægtning: SOC3.3 pkt. 2.1.1</t>
  </si>
  <si>
    <t>SOC3.3
Vægtning: SOC3.3 pkt. 2.6</t>
  </si>
  <si>
    <t>TEC1.3
Vægtning: TEC1.3 pkt. 1</t>
  </si>
  <si>
    <t>TEC1.3
Vægtning: TEC1.3 pkt. 2</t>
  </si>
  <si>
    <t>TEC1.3
Vægtning: TEC1.3 pkt. 3</t>
  </si>
  <si>
    <t>TEC1.3
Vægtning: TEC1.3 pkt. 5</t>
  </si>
  <si>
    <t>TEC1.3
Vægtning: TEC1.3 pkt. 4</t>
  </si>
  <si>
    <t>TEC1.5
Vægtning: TEC1.5 pkt. 1</t>
  </si>
  <si>
    <t>TEC1.5
Vægtning: TEC1.5 pkt. 3.2</t>
  </si>
  <si>
    <t>TEC1.5
Vægtning: TEC1.5 75% af pkt. 3.3 + 3.4</t>
  </si>
  <si>
    <t>TEC1.5
Vægtning: TEC1.5 25% af pkt. 3.3</t>
  </si>
  <si>
    <t>PRO1.1 
Vægtning: PRO1.1 pkt. 3</t>
  </si>
  <si>
    <t>PRO2.2
Vægtning: PRO2.2 pkt. 2.3</t>
  </si>
  <si>
    <t>PRO2.2 
Vægtning: PRO2.2 pkt. 2.1</t>
  </si>
  <si>
    <t>ECO1.1
Vægtning: 87% af ECO1.1 (resten under renhold)</t>
  </si>
  <si>
    <r>
      <t xml:space="preserve">SOC3.1
</t>
    </r>
    <r>
      <rPr>
        <i/>
        <sz val="11"/>
        <rFont val="Calibri"/>
        <family val="2"/>
        <scheme val="minor"/>
      </rPr>
      <t>Vægtning: SOC3.1 pkt. 1.1/2.1/3/4</t>
    </r>
  </si>
  <si>
    <r>
      <t xml:space="preserve">SITE1.2
</t>
    </r>
    <r>
      <rPr>
        <i/>
        <sz val="11"/>
        <color theme="1"/>
        <rFont val="Calibri"/>
        <family val="2"/>
        <scheme val="minor"/>
      </rPr>
      <t xml:space="preserve">Vægtning: SITE1.2 50 % af pkt. 1 </t>
    </r>
  </si>
  <si>
    <r>
      <t xml:space="preserve">SITE1.2
</t>
    </r>
    <r>
      <rPr>
        <i/>
        <sz val="11"/>
        <color theme="1"/>
        <rFont val="Calibri"/>
        <family val="2"/>
        <scheme val="minor"/>
      </rPr>
      <t>Vægtning: SITE1.2 50 % af pkt. 2</t>
    </r>
  </si>
  <si>
    <r>
      <t xml:space="preserve">SITE1.3 + (SOC2.3 + SOC1.7)
</t>
    </r>
    <r>
      <rPr>
        <i/>
        <sz val="11"/>
        <color theme="1"/>
        <rFont val="Calibri"/>
        <family val="2"/>
        <scheme val="minor"/>
      </rPr>
      <t xml:space="preserve">Vægtning: SITE1.3  pkt. 1 + 2 + 3 </t>
    </r>
  </si>
  <si>
    <r>
      <t xml:space="preserve">SITE1.3 + (SOC2.3 + SOC1.7)
</t>
    </r>
    <r>
      <rPr>
        <i/>
        <sz val="11"/>
        <color theme="1"/>
        <rFont val="Calibri"/>
        <family val="2"/>
        <scheme val="minor"/>
      </rPr>
      <t>Vægtning: SITE1.3  pkt. 5</t>
    </r>
  </si>
  <si>
    <r>
      <t xml:space="preserve">SITE1.3
</t>
    </r>
    <r>
      <rPr>
        <i/>
        <sz val="11"/>
        <color theme="1"/>
        <rFont val="Calibri"/>
        <family val="2"/>
        <scheme val="minor"/>
      </rPr>
      <t>Vægtning: SITE1.3  pkt. 6</t>
    </r>
  </si>
  <si>
    <t>Ordforklaring:
- Totaløkonomi: Samlet økonomisk betragtning, der bl.a. inkluderer omkostninger til anlæg, drift og vedligehold.</t>
  </si>
  <si>
    <t>Ordforklaring:
- Formaldehyd og VOC: Stoffer, der bl.a. anvendes til lim i træmaterialer (f.eks. krydsfinér) og maling og som afgasses til luften i rummet.</t>
  </si>
  <si>
    <t>Ordforklaring:
- Ra-indeks: Indeks der angiver hvorledes lyset gengiver farver ift. naturligt lys.</t>
  </si>
  <si>
    <t xml:space="preserve">Ordforklaring:
As Built-materiale er tegninger og relevante beregninger, der er opdateret, så disse afspejler det afleverede byggeri. </t>
  </si>
  <si>
    <t xml:space="preserve">Ordforklaring: 
Kildesortering betyder, at hvert materiale f.eks. ubehandlet træ, batterier, murbrokker, betonbrokker, mineraluld, gips, tagpap, maling, fugemasse osv. betragtes som 'kilder til affald'. Hvis kildesortering prioriteres betyder det altså, at der stilles krav om at affald på byggepladsen sorteres i forhold til den givne kommunes retningslinjer for, hvordan materialer skal sorteres. </t>
  </si>
  <si>
    <t>Antal centicubes mulige</t>
  </si>
  <si>
    <t>Beplantning på tag og facade</t>
  </si>
  <si>
    <t xml:space="preserve">Ejerforhold og boligtyper </t>
  </si>
  <si>
    <t>ordforklaring skal med</t>
  </si>
  <si>
    <t xml:space="preserve"> </t>
  </si>
  <si>
    <t>Læ, sol og skygge</t>
  </si>
  <si>
    <t>Valg af byggegrund</t>
  </si>
  <si>
    <r>
      <t xml:space="preserve">Giftige </t>
    </r>
    <r>
      <rPr>
        <sz val="11"/>
        <rFont val="Calibri"/>
        <family val="2"/>
        <scheme val="minor"/>
      </rPr>
      <t xml:space="preserve">stoffer </t>
    </r>
  </si>
  <si>
    <t>Mulighed for genbrug ved ombygning og bortskaffelse</t>
  </si>
  <si>
    <t>Holdbare byggematerialer</t>
  </si>
  <si>
    <t xml:space="preserve">Maks antal centicubes </t>
  </si>
  <si>
    <t>Antal mønter for svar</t>
  </si>
  <si>
    <t>Oplevede temperaturforskelle i rummet</t>
  </si>
  <si>
    <t>Placering af cykelparkering</t>
  </si>
  <si>
    <t>Pladskrav til cykelparkering</t>
  </si>
  <si>
    <t>Adgangszoner/entréområder</t>
  </si>
  <si>
    <t xml:space="preserve">Udlån af lokaler </t>
  </si>
  <si>
    <t>Personsikkerhed</t>
  </si>
  <si>
    <t>Kuldebroer</t>
  </si>
  <si>
    <t>Forebyggelse af fugt i vinduesrammer</t>
  </si>
  <si>
    <t>Systematisk idriftsættelse</t>
  </si>
  <si>
    <t>Eftervisning af klimaskærmens kvalitet</t>
  </si>
  <si>
    <r>
      <t xml:space="preserve">TEC1.1
</t>
    </r>
    <r>
      <rPr>
        <i/>
        <sz val="11"/>
        <color theme="1"/>
        <rFont val="Calibri"/>
        <family val="2"/>
        <scheme val="minor"/>
      </rPr>
      <t>Vægtning: TEC1.1 pkt 3.2.</t>
    </r>
  </si>
  <si>
    <t xml:space="preserve">Produktion af byggematerialer er forbundet med CO2 udledning. De fleste byggematerialer er begrænsede og kan ikke genskabes. Dette påvirker nutidige og især fremtidige priser på byggematerialer, og det er derfor en fordel at overveje "design til adskillelse". Det betyder, at materialerne til byggeriet er udvalgt med tanke på, at de kan skilles ad, sælges og bruges igen, når bygningen nedrives. 
Hvor vigtigt er det, at byggeriets materialer kan adskilles og genbruges eller genanvendes, når der sker ændringer i byggeriet?
Eksempel: 
"Meget vigtigt" svarer til, at der foretages en detaljeret redegørelse for, hvordan de valgte byggematerialer kan adskilles og genbruges eller genanvendes. 
"Vigtigt" svarer til, at byggematerialer vælges i videst muligt omfang ud fra, at de skal være nemme at adskille. 
"Mindre vigtigt" svarer til, at byggeriet udføres uden særligt hensyn til fremtidig genbrug eller genanvendelse. </t>
  </si>
  <si>
    <t xml:space="preserve">Byggematerialer kan indeholde giftige stoffer, der er skadelige for naturen og brugernes sundhed. Disse sundhedsskadelige stoffer er under udfasning på grund af fremtidige forbud i Danmark eller EU. Det er derfor vigtigt, at byggematerialernes indhold af skadelige stoffer reduceres, og at dette er dokumenteret for at sikre, at bygningen er så sund som mulig at opholde sig i. Byggevarers indhold af giftige hjælpestoffer vil både påvirke brugerne og bygningens fremtidige markedsværdi. 
Hvor vigtigt er dokumentation af overholdelse af grænseværdierne for skadelige stoffer i de anvendte materialer?
Eksempel: 
"Meget vigtigt" svarer til, at der vælges de sundeste produkter på markedet. 
"Vigtigt" svarer til, at der tillades både sunde og mindre sunde produkter. 
"Mindre vigtigt" svarer til, at der anvendes produkter, der overholder de nuværende myndighedskrav. </t>
  </si>
  <si>
    <t xml:space="preserve">En bygning belaster miljøet gennem hele dens levetid - fra produktion af materialer, opførelse og drift af bygningen samt ved nedrivning og bortskaffelse af bygningsmaterialer. 
Belastningen sker blandt andet ved, at energiforbruget til disse faser udleder stoffer der påvirker miljøet negativt på forskellig vis, eksempelvis som global opvarmning, nedbrydning af ozonlaget, smogdannelse, syreregn samt skov- og fiskedød. 
Materialers miljøbelastning afhænger desuden af fremstillingsmetode og levetid, samt bortskaffelse af materialerne, herunder i hvor høj grad materialet kan genanvendes. 
Hvor vigtigt er det, at der anvendes materialer med en lav miljøbelastning, lang levetid og høj grad af genanvendelighed?
Eksempel: 
"Meget vigtigt" svarer til, at der etableres et byggeri med et væsentligt lavere energibehov end Bygningsreglementets krav, og at byggeriets materialer har en lav miljøpåvirkning - f.eks. via primære konstruktioner i træ. 
"Vigtigt" svarer til at der anvendes traditionelle byggematerialer, og at bygningen har et lavt energibehov sammenlignet med Bygningsreglementets krav. 
"Mindre vigtigt" svarer til, at bygningens energibehov overholder Bygningsreglementets krav og at der anvendes traditionelle byggematerialer. </t>
  </si>
  <si>
    <t>ENV1.1 + ENV2.1
Vægtning: 40% af summen af ENV1.1 + ENV2.1 pkt. 1 og 2</t>
  </si>
  <si>
    <t>ENV2.1
Vægtning: ENV2.1 pkt. 3</t>
  </si>
  <si>
    <t>Forskellige energikilder er forbundet med forskellige miljøbelastninger. Fossile brændstoffer (gas, olie og kul) er en begrænset ressource og er samtidig forbundet med stor udledning af miljøfarlige stoffer. En stor del af den kollektive varmeforsyning i Danmark er fjernvarme, som ofte stammer fra affaldsforbrænding eller biobrændsler. Selvom fjernvarmen i Danmark betragtes som en forholdsvis miljøvenlig energikilde sammenlignet med olie og gas, er den stadig forbundet med udledning af miljøbelastende stoffer. 
Vedvarende energikilder (eksempelvis sol-, jord- eller vindenergi) er ikke en begrænset ressource, og miljøbelastningen fra disse er meget lille. 
Hvor vigtigt er det, at bygningens energibehov fra bygningens brug dækkes enten helt eller delvist af vedvarende energikilder, som eksempelvis solenergi?
Eksempel:  
"Meget vigtigt" svarer til, at andelen af vedvarende energi udgør minimum 15% af energibehovet. 
"Vigtigt" svarer til, at andelen af vedvarende energi udgør mellem 10 og 15% af energibehovet. 
"Mindre vigtigt" svarer til, at den vedvarende energi udgør fra 0% til 10% af bygningens energibehov.</t>
  </si>
  <si>
    <t>Drikkevandsforbrug og spildevandsudledning belaster det naturlige vandkredsløb. Vandet skal igennem intensiv behandling før det kan anvendes til drikkevand, og efterfølgende skal det renses for skadelige stoffer og urenheder, før det igen kan udledes til det naturlige vandkredsløb. Denne vandoprensning kræver en stor mængde ressourcer. 
Eksempler på vandbesparende installationer er to-skylstoiletter samt håndvask-, køkkenvask- og bruserarmaturer med lav vandgennemstrømning og/eller sensor. Som udgangspunkt vil vandbesparende armaturer og installationer kun påvirke anlægsøkonomien i begrænset omgang. 
Hvor vigtigt er det, at der anvendes vandbesparende armaturer og installationer? 
Eksempel: 
"Meget vigtigt" svarer til, at der anvendes både to-skylstoiletter og vandarmaturer med lav vandgennemstrømning, vandbesparende vaskemaskiner og opvaskemaskiner. 
"Vigtigt" svarer til, at der anvendes enten to-skylstoiletter eller vandarmaturer med lav vandgennemstrømning. 
"Mindre vigtigt" svarer til, at der ikke stilles væsentlige krav til vandbesparende installationer eller udstyr.</t>
  </si>
  <si>
    <t>Spildevand opdeles i sort og gråt spildevand, hvor sort spildevand er det, der afledes fra toiletter og opvaske- og vaskemaskiner, mens gråt spildevand er det, der afledes fra kondenstørretumblere, køkken- og håndvaske samt bad. Det grå spildevand kan genanvendes til eksempelvis toiletskyl og havevanding, hvorved spildevandsudledningen og drikkevandsforbruget mindskes. Det sorte spildevand kan renses og genbruges som gråt spildevand. 
Formålet med at anvende gråt eller sort spildevand er, at reducere belastning af kloaksystemet og samtidig reducere forbruget af drikkevand. Dette er et godt alternativ, hvis det ikke er muligt at reducere forbruget af rent drikkevand via vandbesparende armaturer og installationer i projektet.
Dette vil påvirke projektets anlægsøkonomi da der skal etableres dobbelte strengsystemer og opsamlingstanke samt eventuelt et mindre rensningsanlæg. 
Hvor vigtigt er det, at der installeres et spildevandsanlæg, så det grå spildevand kan genanvendes til eksempelvis toiletskyl?
Eksempel: 
"Meget vigtigt" svarer til, at der etableres genbrug af både sort og gråt spildevand. 
"Vigtigt" svarer til, at der etableres genbrug af gråt spildevand. 
"Mindre vigtigt" svarer til, at der ikke etableres genbrug af sort eller gråt spildevand.</t>
  </si>
  <si>
    <t xml:space="preserve">Regnvand kan anvendes til at reducere forbruget af rent drikkevand. Ved at anvende regnvand til f.eks. vinduesvask, toiletskyl og vanding af planter og grønne arealer kan brugeren spare penge og samtidig sikre, at der også er rent drikkevand i vandhanen i fremtiden. 
Anvendelse af regnvand til toiletskyl vil medføre ekstra anlægsomkostninger til tanke og ekstra rørføring til regnvandet. Tilbagebetalingen på et sådant anlæg er erfaringsmæssigt mellem 15 og 25 år. 
Hvor vigtigt er det, at regnvand opsamles og udnyttes til toiletskyl, vinduesvask og/eller vanding af grønne arealer?
Eksempel: "Meget vigtigt" svarer til, at regnvand opsamles og behandles til anvendelse til toiletskyl og/eller vinduesvask.
"Vigtigt" svarer til, at regnvand opsamles til brug ved vanding af grønne arealer. 
"Mindre vigtigt" svarer til, at der ikke genbruges regnvand. </t>
  </si>
  <si>
    <t xml:space="preserve">Beplantning er et vigtigt element i bæredygtigt byggeri, fordi planter og træer renser luften og delvist fjerner støv og usynlige partikler i luften fra eksempelvis bilers udstødning.
Varieret beplantning vil også sikre, at dyreliv i et område (f.eks. fugle, insekter og andre smådyr) bevares i forbindelse med et byggeri. Jo flere plantearter der etableres, des bedre er det for naturen. 
Hvor vigtigt er det, at beplantningen er mangfoldig?
Eksempel: 
"Meget vigtigt" svarer til, at der etableres  varieret beplantning, og at der ved etablering af udendørs beplantning er fokus på, at der anvendes mangfoldig beplantning, og at de anvendte arter er hjemmehørende (det vil sige planter der lever naturligt i området). 
"Vigtigt" svarer til, at der etableres planter og træer på de tilhørende udendørs arealer. 
"Mindre vigtigt" svarer til, at der kun i begrænset omfang etableres beplantning. 
</t>
  </si>
  <si>
    <t>Varieret og artsrig beplantning i de udendørs arealer er godt for dyre- og planteliv i området samt brugernes oplevelse af at være tæt på naturen. Dette kan samtidig være vedligeholdskrævende og dermed øge omkostninger til vedligehold af udearealer. Det er dog muligt, at designe områder med varieret og artsrig beplantning uden stort behov for vedligehold - eksempelvis som vilde engområder, der slås ligesom græs et par gange om året. 
Hvor vigtigt er det, at beplantningen er mangfoldig uden at være vedligeholdelseskrævende?
"Meget vigtigt" svarer til, at der udelukkende etableres varieret og artsrig beplantning og at bevaringsværdige træer (over 1 meter høje og 10 cm i stamme-diameter) beskyttes og bevares. 
"Vigtigt" svarer til, at der etableres mindre områder med varieret og artsrig beplantning.
"Mindre vigtigt" svarer til, at der ikke etableres varieret og artsrig beplantning.</t>
  </si>
  <si>
    <t xml:space="preserve">Muligheder for varierende udearealer med både læ, sol og skygge kan være med til at skabe en større anvendelighed af udendørsarealerne samt en større tilfredshed blandt udearealernes brugere. Dette kan eksempelvis løses via naturlig beplantning eller ved opsætning af overdækninger eller læhegn.
Hvor vigtigt er det, at der er områder i de omkringliggende udearealer, hvor det er muligt for brugerne at finde både læ, sol og skygge forskellige steder på grunden?
Eksempel: 
"Meget vigtigt" svarer til, at der etableres meget varierede udearealer, hvor der sikres arealer med både sol, skygge og læ og at disse er placeret hensigtsmæssigt i forhold til brugen af de tilstødende arealer. 
"Vigtigt" svarer til, at der etableres nogle områder med enten læ og skygge, sol og læ eller sol og skygge.
"Mindre vigtigt" svarer til, at der i begrænset omfang etableres områder med sol, skygge eller læ. </t>
  </si>
  <si>
    <t xml:space="preserve">Kloaksystemet er generelt overbelastet, hvorfor alle skal bidrage til at forsænke regnvandets udløb til det offentlige kloak system.
Tagbeplantning er en måde at tilbageholde og reducere mængden af regnvand. Herved bliver belastningen af kloaksystemet mindre. 
Etablering af beplantning på tag og facade har en positiv indvirkning på luftkvaliteten, lufttemperaturen og dyre- og planteliv i udearealerne. 
Beplantning på tag og facade repræsenterer en ekstraudgift, og der vil være øget vedligehold. 
Denne type beplantning stiller desuden store krav til udførelse, hvor det skal sikres, at beplantningen ikke giver anledning til byggeskader. 
Hvor vigtigt er det, at der etableres beplantning på taget og/eller facaden?
Eksempel:  
"Meget vigtigt" svarer til, at der etableres beplantning på en stor del af tag og/eller facade.
"Vigtigt" svarer til, at der etableres beplantning på en mindre del af tag og/eller facade. 
"Mindre vigtigt" svarer til, at der ikke etableres beplantning på tag eller facader. </t>
  </si>
  <si>
    <t xml:space="preserve">Uberørte jordarealer er en knap ressource, hvilket betyder, at uberørte jordarealer så vidt muligt ikke bør inddrages til bebyggelse. Der er desuden en gevinst ved at byggegrunde udnyttes så effektivt som muligt ved at bygge tæt og i flere etager. 
Hvor vigtigt er det, at den tilladte bebyggelsesprocent på grunden er fuldt udnyttet?
"Meget vigtigt" svarer til at bebyggelsestætheden er minimum 200%
"Vigtigt" svarer til, at bebyggelsesprocenten er ca. 85% 
"Mindre vigtigt" svarer til, at bebyggelsesprocenten er maksimalt 30%. </t>
  </si>
  <si>
    <t xml:space="preserve">Typisk er der opstillet kommunale krav til, hvordan forurenet jord skal håndteres ved oprensning af jordarealer til bebyggelse. Disse fokuserer på sundhedsmæssige risici.
Hvor vigtigt er det, at håndtering af forurening på grunden skal være bedre end kommunens foreskrifter, og at håndtering sker på den mest økonomiske, sundhedsmæssige og miljøbevidste måde? 
Eksempel:  
"Meget vigtigt" svarer til, at der ved oprensning af jord har været stor fokus på at finde en metode til oprensning, der imødekommer både sundhed, økonomi og miljøhensyn (f.eks. energieffektive rensemetoder). 
"Vigtigt" svarer til, at der ved oprensning af jord har været overvejelser omkring både sociale hensyn og omkostninger.
"Mindre vigtigt" svarer til, at kommunens retningslinjer følges. </t>
  </si>
  <si>
    <t>Uberørte og ikke-forurenede jordarealer er en knap ressource der udgør cirka 1% af det samlede areal i Danmark. Der er derfor en miljømæssig gevinst for samfundet i at vælge en byggegrund der i forvejen er kortlagt som forurenet, fordi dette reducerer forbruget af uberørt land. Dette betyder dog, at man i henhold til lovgivning er nødt til at foretage en oprensning af det forurenede jordareal, inden det kan anvendes. 
Der kan være store udgifter forbundet med oprensning af forurenet jord. På den anden side er det muligt at opnå en mere attraktiv og bymæssigt central placering. 
Hvor vigtigt er det, at grundarealet hvor byggeriet skal opføres tidligere har været bebygget, og at arealet er forurenet?
Eksempel: 
"Meget vigtigt" svarer til, at der vælges en stærkt forurenet byggegrund. 
"Vigtigt" svarer til, at der vælges en svagt forurenet byggegrund. 
"Mindre vigtigt" svarer til, at der ikke er valgt en forurenet byggegrund.</t>
  </si>
  <si>
    <t>Ved anvendelse af træ og natursten, der overholder krav fra bæredygtige mærkningsordninger, sikres at produkterne er fremskaffet på en forsvarlig og bæredygtig måde. Det betyder, at der har været ordentlige arbejdsbetingelser, og at særlige miljømæssige standarder har været fulgt under udvinding og forarbejdning af materialer. For træmaterialer gælder endvidere en sikring af, at træet stammer fra skove, der er forvaltet bæredygtigt, hvormed træsorten samt dyre- og planteliv i skoven er beskyttet mod udryddelse. 
Hvor vigtigt er det, at de træ- og naturstensprodukter der anvendes i byggeriet er godkendte af en anerkendt mærkningsordning og at dette dokumenteres?
Eksempel: 
"Meget vigtigt" svarer til, at natursten og anvendte træprodukter på byggepladsen og i byggeriet, i videst muligt omfang er enten genbrugstræ eller FCS- eller PEFC-certificeret. 
"Vigtigt" svarer til, at certificering af natursten er fravalgt, og at kun en del af træet er certificeret og dokumenteret efter en af mærkningsordningerne FCS eller PEFC. 
"Mindre vigtigt" svarer til, at der er fravalgt mærkning for både natursten og trævarer.</t>
  </si>
  <si>
    <r>
      <t>Holdbarheden af de anvendte byggematerialer har betydning for både totaløkonomien og den samlede miljøbelastning for byggeriet. Jo længere levetid byggematerialerne har, desto færre udskiftninger skal der foretages i løbet af bygningens samlede levetid. Det er dog vigtigt, at bygningsmaterialerne ikke udelukkende vælges på baggrund af levetiden, da andre elementer, som for eksempel: pris, miljøbelastning ved fremstilling, kvalitet, æstetik og lignende) har betydning for et materiales samlede bidrag til et bæredygtigt byggeri. 
Hvor vigtigt er materialernes levetider og et lavt behov for vedligehold?</t>
    </r>
    <r>
      <rPr>
        <i/>
        <sz val="11"/>
        <rFont val="Calibri"/>
        <family val="2"/>
        <scheme val="minor"/>
      </rPr>
      <t xml:space="preserve">
</t>
    </r>
    <r>
      <rPr>
        <sz val="11"/>
        <rFont val="Calibri"/>
        <family val="2"/>
        <scheme val="minor"/>
      </rPr>
      <t xml:space="preserve">
Eksempel: 
"Meget vigtigt" svarer til, at der primært vælges byggematerialer med en lang levetid. 
"Vigtigt" svarer til at byggematerialernes holdbarhed varierer, dvs. tag eller facade er beklædt med et materiale med en middel levetid, mens andre materialer vælges med lang levetid. 
"Mindre vigtigt" svarer til, at der i stor udstrækning er valgt byggematerialer med en kort levetid.  
</t>
    </r>
  </si>
  <si>
    <t xml:space="preserve">Den valgte bygningsgeometri og materialevalget har stor betydning for, hvor let bygningen er at renholde i forhold til vand- og tidsforbrug til rengøring. 
Hvor vigtigt er det, at rengøringsvenlighed er en afgørende faktor i valg af bygningsudformning og materialer?
Eksempel: 
"Meget vigtigt" svarer til, at der ingen - eller stort set ingen - hjørner må være i bygningen, hvor det er svært at komme til med en kost eller støvsuger. Der vælges gulvvarme, væghængte toiletter og skjulte rørføringer. 
"Vigtigt" svarer til, at der er enkelte steder i bygningen, hvor det er svært at komme til med en kost eller en støvsuger (eksempelvis bagved en søjle, ved synlige rørføringer, gulvmonterede toiletter eller ved en lav radiator).
"Mindre vigtigt" svarer til, at der er flere steder i bygningen, hvor det er svært at komme til med en kost eller en støvsuger. </t>
  </si>
  <si>
    <r>
      <t>En øget rumhøjde (højde fra overside gulv til underside</t>
    </r>
    <r>
      <rPr>
        <sz val="11"/>
        <color rgb="FFFF0000"/>
        <rFont val="Calibri"/>
        <family val="2"/>
        <scheme val="minor"/>
      </rPr>
      <t xml:space="preserve"> </t>
    </r>
    <r>
      <rPr>
        <sz val="11"/>
        <rFont val="Calibri"/>
        <family val="2"/>
        <scheme val="minor"/>
      </rPr>
      <t xml:space="preserve">loft) giver øget fleksibilitet til bygningen, også hvis bygningen skal anvendes til et andet formål i fremtiden. Selvom dette  kan være forbundet med øgede anlægsomkostninger, er der en stor totaløkonomisk gevinst i at sikre fleksibiliteten, da dette er med til at forlænge levetiden på byggeriet, samt gøre det mere attraktivt ved et muligt fremtidigt salg. En øget rumhøjde bidrager desuden til en bedre fordeling af dagslys i rummet. 
I enfamiliehuse stiller bygningsreglementet krav om en rumhøjde på 2,3m og etagebyggeri 2,5m. 
Hvor vigtigt er det, at der er en fri rumhøjde fra oversiden af gulvet til undersiden af loftet på mere end 2,5 meter?
Eksempel: 
"Meget vigtigt" svarer til, at rumhøjden er større end 3 meter.
"Vigtigt" svarer til, at rumhøjden er større end 2,5 meter. 
"Mindre vigtigt" svarer til, at rumhøjden er lig med eller mindre end 2,5 meter. </t>
    </r>
  </si>
  <si>
    <t xml:space="preserve">Dagslys har stor betydning for et rums oplevede kvalitet. En mindre bygningsdybde giver desuden mulighed for opdeling af bygningen i lejemål af forskellig størrelse, da en mindre bygningsdybde giver bedre mulighed for at inddele i mindre enheder, som stadig har god adgang til dagslys og udsyn. Selvom dette kan være forbundet med øgede anlægsomkostninger, er der en stor totaløkonomisk gevinst i at sikre fleksibiliteten. Fleksibilitet er med til at forlænge levetiden på byggeriet, samt gøre det mere attraktivt ved et muligt fremtidigt salg. 
Gode dagslysforhold minimerer desuden elforbruget.
Hvor vigtigt er det, at bygningsdybden er så smal, at boligen er gennemlyst (dvs. får dagslys fra flere verdenshjørner)?
Eksempel:  
"Meget vigtigt" svarer til en bygningsdybde på mindre end 10 meter, hvorved en bolig vil kunne etableres med gennemlys.
"Vigtigt" svarer til en bygningsdybde på mellem 10-12 meter. 
"Mindre vigtigt" svarer til en bygningsdybde på mere end 12 meter og der etableres en fordelingsgang i midten, så lejlighederne belyses ensidigt.
</t>
  </si>
  <si>
    <t xml:space="preserve">Det har stor betydning for fleksibiliteten af et byggeri, hvor stor en andel af bygningsarealet, der kan udnyttes til udlejning. Det effektive areal, der kan udlejes kaldes nyttearealet. Nyttearealet beregnes ved at dividere den møblerbare del af nettoarealet med bygningens bruttoareal.  
Ved boligbyggeri er det følgende funktioner inde i bygningen, der ligger udenfor nyttearealet: fælles gangarealer, trapper, elevatorer, fælles teknikrum, depotrum, vaskerum. Hvis gangzoner og fælles adgangsveje aktiveres som opholdsarealer via nicher og mødesteder mellem beboere kan disse områder medregnes i nyttearealet.
Hvor vigtigt er det, at arealforbruget til fælles adgangsveje uden mulighed for ophold minimeres?
Eksempel: 
"Meget vigtigt" svarer til, at det møblerbare areal udgør minimum 80% af bruttoarealet. 
"Vigtigt" svarer til at det møblerbare areal udgør cirka 70% af bruttoarealet. 
"Mindre vigtigt" svarer til, at det møblerbare areal udgør mindre end 60% af det møblerbare areal.  </t>
  </si>
  <si>
    <t xml:space="preserve">Mulighed for at ændre på størrelsen af boligens areal, kan gøre det lettere at udleje eller sælge boligen, når byggeriet er taget i brug. 
Hvor vigtigt er det, at det er muligt at ændre på boligens størrelse ved fremtidige ombygninger?
Eksempel: 
"Meget vigtigt" svarer til, at boliger kan lægges sammen eller opdeles i mindre enheder. 
"Vigtigt" svarer til, at nogle af byggeriets boliger kan lægges sammen eller opdeles i mindre enheder. 
"Mindre vigtigt" svarer til, at boligerne ikke kan lægges sammen uden væsentlige ændringer i bygningens konstruktioner ved en fremtidig renovering.  </t>
  </si>
  <si>
    <t xml:space="preserve">Indvendige vægge, der ikke er bærende, giver mulighed for nedrivning af vægge, hvis der i fremtiden ønskes en sammenlægning af rum. Dette bidrager positivt til bygningens fleksibilitet, men kan også øge projektets anlægsøkonomi. Der er en stor totaløkonomisk gevinst i at sikre fleksibiliteten, da dette er med til at forlænge levetiden på byggeriet, samt gøre det mere attraktivt ved et muligt fremtidigt salg. 
Hvor vigtigt er det, at det er muligt at flytte/nedrive de indvendige vægge i boligen?
Eksempel: 
"Meget vigtigt" svarer til, at indvendige vægge ikke er bærende og ikke kræver store indgreb at tage ned eller flytte, fordi det konstruktive byggesystem er forberedt til det.
"Vigtigt" svarer til, at indvendige vægge ikke er bærende. 
"Mindre vigtigt" svarer til, at de indvendige vægge er bærende. </t>
  </si>
  <si>
    <t xml:space="preserve">Bygningsinstallationernes fleksibilitet øges, hvis rør og kanaler er let tilgængelige for fremtidige ændringer og vedligehold. En investering i fleksibilitet er dermed en investering i besparelser ved fremtidige ombygninger. Dette er med til at forlænge byggeriets levetid og gøre det mere attraktivt ved et muligt fremtidigt salg. 
Hvor vigtigt er det, at rør og kanaler til installationer er let tilgængelige, så der med forholdsvis små bygningsmæssige indgreb kan tilføjes ekstra installationer (f.eks. toiletter, vandarmaturer, ventilationsarmaturer etc.) eller hvis placering af rumtyper eller størrelser af rum ændres i fremtiden?
Eksempel: 
"Meget vigtigt" svarer til, at føringsveje til installationer kan ændres uden indgreb i loft og gulv, hvor adgang til rørføringer sker via lemme eller døre og der er planlagt ekstra indblæsningsarmaturer i større rum, der kan underopdeles af brugeren.  
"Vigtigt" svarer til, at føringsveje let kan ændres indgreb i loft og gulv.
"Mindre vigtigt" svarer til, at føringsvejene til installationer kun kan ændres ved væsentlige indgreb i byggeriets vægge, gulve og lofter.
</t>
  </si>
  <si>
    <t>Bygningsinstallationernes fleksibilitet øges, hvis installationsskakte dimensioneres med pladsreserver, så der er kapacitet til et fremtidigt behov for udvidelse af kanal-/rørdimensioner. Selvom dette er forbundet med øgede anlægsomkostninger, er der en stor totaløkonomisk gevinst i at forberede byggeriet til en fremtidig opgradering af de tekniske installationer. 
Hvor vigtigt er det, at installationsskakte overdimensioneres, så der er plads til en fremtidig udvidelse af rør og kanaler?
Eksempel:
"Meget vigtigt" svarer til, at installationsskakte er overdimensioneret med 20%. 
"Vigtigt" svarer til, at installationsskakte er overdimensioneret med 10%. 
"Mindre vigtigt" svarer til, at installationerne ikke er overdimensioneret.</t>
  </si>
  <si>
    <t xml:space="preserve">Konstruktionernes fleksibilitet øges, hvis der indregnes ekstra bæreevne, hvormed der i fremtiden kan tilføjes flere etager eller bygningen kan anvendes til et andet formål. Selvom dette er forbundet med øgede anlægsomkostninger, er det med til at forlænge levetiden på byggeriet fordi det øger muligheden for at anvende bygningen til andre formål og det vil derfor være lettere at sælge. 
Hvor vigtigt er det, at der i projekteringen af de bærende konstruktioner er taget højde for, at der er ekstra bæreevne, der muliggør at bygningens funktion kan ændres i fremtiden?
Eksempel: 
"Meget vigtigt" svarer til, at der er indarbejdet konkrete forslag til en anden anvendelse af byggeriet og at der er sikret lastreserver til den nye type anvendelse. 
"Vigtigt" svarer til, at der er indarbejdet en ekstra bæreevne uden den ændrede anvendelse er konkretiseret yderligere. 
"Mindre vigtigt" svarer til, at der ikke indarbejdes krav om ekstra bæreevne. </t>
  </si>
  <si>
    <t>Adgang til private uderum fra boligerne, herunder altaner og terrasser, øger brugernes tilfredshed og gør byggeriet lettere at leje ud eller sælge. 
Selvom især altaner er forbundet med omkostninger til både anlæg og drift er de meget efterspurgte i etageejendomme og bidrager til kortere liggetider på lejemål og fremtidssikring af byggeriet.
Hvor vigtigt er det, at der er private uderum til boligerne (herunder altaner og terrasser)?
Eksempel: 
"Meget vigtigt" svarer til, at der etableres private altaner/terrasser på min. 10 m2. 
"Vigtigt" svarer til, at der etableres private altaner/terrasser på min. 5 m2. Eller at der for halvdelen af boligerne etableres en altan på 10 m2.
"Mindre vigtigt" svarer til, at der er indarbejdet mindre altaner/terrasser eller at udearealer er fravalgt.</t>
  </si>
  <si>
    <t xml:space="preserve">Der er en økonomisk fordel i at foretage en risikovurdering af hvilke bygningsdele i byggeriet, der er særligt sårbare overfor skader, for at undgå denne type skader. Dette sikres via risikovurderinger af sårbare bygningsdele - eksempelvis lette vådrum, træfacader og atypiske sammensætninger af materialer i vådrum eller klimaskærmen.
Hvor vigtigt er det, at der udarbejdes risikovurderinger for sårbare bygningsdele der dokumenterer efterlevelse af Trævarebranchens og Byggeskadefondens retningslinjer?
Eksempel: 
"Meget vigtigt" svarer til, at der er gennemført en omfattende risikovurdering, der dokumenterer, at alle relevante erfaringer fra Byggeskadefonden og Trævarebranchens oplysningsråd er fulgt, samt at der etableres tunge vådrum. 
"Vigtigt" svarer til, at der er gennemført en risikovurdering, og at førnævnte anbefalinger delvist er fulgt. 
"Mindre vigtigt" svarer til, at der ikke gennemføres nogen risikovurdering på projektet eller indarbejdes anbefalinger. </t>
  </si>
  <si>
    <t xml:space="preserve">Indeklimaet påvirker bygningens brugere, dels i forbindelse med deres tilfredshed med ophold i bygningen, dels i forhold til deres sundhed.  
Indeklimaets kvalitet påvirkes af temperaturen indendørs, da det hverken er behageligt, hvis det er for koldt eller for varmt i bygningen. 
Bygningsreglementet stiller krav til den oplevede rumtemperatur i boliger, hvor rumtemperaturen maksimalt må overstige 27C i 100 timer og 28C i 25 timer på et år. 
Hvor vigtigt er det, at de indendørs temperaturforhold forbedres i forhold til bygningsreglementets minimumskrav?
Eksempel: 
"Meget vigtigt" svarer til, at der sikres en komforttemperatur på minimum 21C om vinteren og maksimalt 26C om sommeren med en tilladt overskridelse på 50 timer. 
"Vigtigt" svarer til, at der sikres en komforttemperatur på minimum 20,5C om vinteren og maksimalt 26C om sommeren med en tilladt overskridelse på 100 timer over 26C og 25 timer over 27C
"Mindre vigtigt" svarer til, at Bygningsreglementets minimumskrav overholdes. </t>
  </si>
  <si>
    <t xml:space="preserve">Luften der blæses ud i rummet fra ventilationsanlægget eller luft fra vinduesåbninger kan give trækgener, hvis der ikke har været fokus på at designe ventilationen, så dette undgås. Problemer med træk kan have en negativ indflydelse på brugernes tilfredshed. 
Hvor vigtigt er det, at der stilles krav til ventilationsdesignet, der gør, at risikoen for trækgener minimeres?
Eksempel:
 "Meget vigtigt" svarer til, at lufthastigheder fra indblæsningsarmaturer maksimalt er 0,16 m/s om vinteren og 0,19 m/s om sommeren. 
"Vigtigt" svarer til, at den mekaniske ventilation overholder samme krav, som for "Meget vigtigt" og dette suppleres med naturlig ventilation, hvor beboeren åbner sit vindue og derfor accepterer mere træk. 
"Mindre vigtigt" svarer til, at bygningsreglementet er overholdt, svarende til at der sikres forvarmning af indblæsningsluften (der er ikke angivet krav til indblæsningstemperaturen).  </t>
  </si>
  <si>
    <t>Store temperaturforskelle mellem overflader i rummet, eksempelvis en kold vinduesrude og et varmt gulv, kan skabe ubehag for brugerne. Der er derfor en gevinst ved at have fokus på kvaliteten af bygningsdele som for eksempel vinduer og lignende samt være opmærksom på, at der ikke er en for høj gulvtemperatur, hvis der er gulvvarme. 
Hvor vigtigt er det, at der stilles krav til forskellen mellem højeste og laveste temperatur på overflader i rummet?
Eksempel: 
"Meget vigtigt" svarer til at det dokumenteres, at kulde- og varmestråling er forebygget fra facader, gulve og lofter både sommer og vinter. 
"Vigtigt" svarer til, at det dokumenteres, at kulde og varmestråling er forebygget ved gulve, lofter eller facade enten sommer eller vinter 
"Mindre vigtigt" svarer til at U-værdier for glasflader og gulvkonstruktioner med gulvvarme overholder Bygningsreglementets minimumskrav.</t>
  </si>
  <si>
    <t xml:space="preserve">Lydforhold i en bygning har stor betydning for indeklimaet. Flere faktorer har betydning for lydforholdene. Disse faktorer er: Støj fra omkringliggende rum, trinlyd fra gulve, efterklangen i rummet, støj fra installationer og støj fra udendørs trafik.
Oplevelse af støj er årsag til størstedelen af klager over indeklimaet. Hvis kravet til lyddæmpning skærpes i et boligbyggeri, vil det medføre ekstra anlægsomkostninger. Støjsvage boliger er til gengæld eftertragtede og dermed vil et sådant tilvalg påvirke liggetider og fremtidige udlejningsmuligheder positivt.  
Hvor vigtigt er det, at akustikken i bygningen har en høj standard?
Eksempel: 
"Meget vigtigt" svarer til, at konstruktioner og installationer overholder lydklasse A, der er den skrappeste lydklasse og som sikrer minimal forplantning af støj ind i boligen
"Vigtigt" svarer til, at konstruktioner og installationer overholder lydklasse B, der er den normale lydklasse i et nyt boligbyggeri.
"Mindre vigtigt" svarer til, at Bygningsreglementets minimumskrav (lysklasse C) overholdes. Denne lydklasse overholdes typisk på renoveringsopgaver. </t>
  </si>
  <si>
    <r>
      <t xml:space="preserve">
</t>
    </r>
    <r>
      <rPr>
        <sz val="11"/>
        <color rgb="FFFFC000"/>
        <rFont val="Calibri"/>
        <family val="2"/>
        <scheme val="minor"/>
      </rPr>
      <t xml:space="preserve">
</t>
    </r>
  </si>
  <si>
    <t>Luftkvaliteten påvirker indeklimaet. Den indendørs luftkvalitet påvirkes af de mennesker og elektroniske apparater og møbler, der opholder sig i et rum. Mennesker afgiver fugt mens elektroniske apparater og møbler afgiver lugte.  Den dårlige luft kan fjernes helt eller delvist ved hjælp af mekaniske ventilation. 
I nye boliger stilles krav om et generelt mekanisk balanceret luftskifte på 30 l/s pr. m2 med supplerende krav til vådrum og køkkener. 
Hvor vigtigt er det, at kvaliteten af den indendørs luftkvalitet er bedre end minimumskravet i Bygningsreglementet?
Eksempel: 
"Meget vigtigt" svarer til, at luftkvaliteten i boligen er bedre end i en ny standardbolig. Dette sikres via et luftskifte i boligen på minimum 45 l/s pr. m2. 
"Vigtigt" svarer til Bygningsreglementets krav om et luftskifte på 30 l/s pr. m2. 
"Mindre vigtigt" svarer til et luftskifte på mindre end 30 l/s pr. m2 - eksempelvis i en renoveret ejendom uden balanceret mekanisk ventilation.</t>
  </si>
  <si>
    <t xml:space="preserve">Byggematerialer og overfladebehandlinger kan have en negativ påvirkning på den indendørs luftkvalitet, og derved på brugernes tilfredshed og sundhed. 
Hvor vigtigt er det, at det dokumenteres, at der anvendes materialer, der har en dokumenteret lav afgasning til indeklimaet?
Eksempel: 
"Meget vigtigt" svarer til, at der foretages eftervisende målinger i udvalgte rum af formaldehyd og TVOC i rumluften og at resultatet af denne dokumenterer at den samlede afgasning for TVOC er mindre eller lig ned 300 ppm og afgasningen af formaldehyd er mindre eller lig med 50 ppm.
"Vigtigt" svarer til, at det dokumenteres, at der anvendes indeklimamærkede materialer eller tilsvarende mærkningsordninger eller der er gennemført indeklimamålinger som for "meget vigtigt" men resultatet er: TVOC mindre end 1000 ppm og formaldehyd er mindre end 60 ppm.
 "Mindre vigtigt" svarer til, at der intet gøres for at dokumentere afgasningen til indeklimaet. </t>
  </si>
  <si>
    <t xml:space="preserve">Ved at indtænke adgang til dagslys i facadedesignet og placering af rum kan dagslysforholdene forbedres markant. Lysforhold har en stor påvirkning på bygningens brugere, både i forbindelse med deres tilfredshed med bygningen og deres sundhed. 
Desuden må energiforbruget til elektrisk belysning forventes at være mindre. 
Hvor vigtigt er det, at der er gode dagslys forhold i bygningen?
Eksempel: "Meget vigtigt" svarer til, at dagslysforhold i både boliger og fællesarealer er optimeret og at både fælles og private opholdsrum, samt køkkener og toiletter er placeret tæt på et vindue. 
"Vigtigt" svarer til, at dagslysforhold i boliger er optimeret og der er dagslys i alle boligens opholdsrum. Desuden er der vindue i enten køkken eller toilet rum. 
"Mindre vigtigt" svarer til, at Bygningsreglementets minimumskrav overholdes og hverken køkken eller toilet ikke har vinduer mod det fri.  </t>
  </si>
  <si>
    <t>Adgang til direkte sollys i boligen giver mulighed for at udnytte den gratis varme fra solen, og kan samtidig være medvirkende til en større brugertilfredshed blandt andet på grund af en bedre oplevelse af farver og former. 
Hvor vigtigt er det, at der er god tilgang til direkte sollys i boligernes opholdsrum?
Eksempel: 
"Meget vigtigt" svarer til, at der er direkte sollys i både boliger og fællesarealer i mere end 5 timer på et jævndøgn. 
"Vigtigt" svarer til, at der er god tilgang til direkte sollys i boliger mere end 3 timer på et jævndøgn.
"Mindre vigtig" svarer til, at antallet af timer med direkte sollys i boligen er mindre end 2 timer på et jævndøgn.</t>
  </si>
  <si>
    <r>
      <t xml:space="preserve">
</t>
    </r>
    <r>
      <rPr>
        <sz val="11"/>
        <color rgb="FFFFC000"/>
        <rFont val="Calibri"/>
        <family val="2"/>
        <scheme val="minor"/>
      </rPr>
      <t/>
    </r>
  </si>
  <si>
    <t xml:space="preserve">Det er ikke udelukkende mængden af dagslys i en bygning, der har betydning for brugertilfredsheden, men også kvaliteten af dagslys. Dagslyskvaliteten påvirkes af farvegengivelsen i bygningens ruder. Hvor vigtigt er det, at der ikke benyttes film på ruder i vinduerne, som forvrænger farverne i dagslyset?
Eksempel: 
"Meget vigtigt" svarer til, at farvegengivelsen af lyset igennem ruden er så tæt på hvidt lys som muligt (minimum Ra 90). 
"Vigtigt" svarer til, at farvegengivelsen igennem ruden er gennemsnitlig svarende til, at der er valgt ruder med solfilm, der reducerer den del af sollyset, der giver varme til de bagvedliggende rum (minimum Ra 80). 
"Mindre vigtigt" svarer til, at der ikke stilles krav til rudens Ra-værdi og dermed ikke kvaliteten af dagslyset igennem ruden. </t>
  </si>
  <si>
    <t xml:space="preserve">Brugernes udsyn til omgivelserne fra boligerne har betydning for hvor tilfreds brugeren er med sin bolig. Etablering af udvendig solafskærmning har positiv påvirkning på brugernes mulighed for styring af rumtemperaturen om sommeren, men kan have negativ indflydelse på udsynet gennem vinduerne. 
Hvis der etableres udvendig solafskærmning, hvor vigtigt er det så, at der er udsyn gennem vinduet, når den udvendige solafskærmning er aktiveret?
Eksempel: 
"Meget vigtigt" svarer til, at solafskærmningen har dynamiske/justérbare lameller e.lign., eller at der ikke etableres udvendig solafskærmning. 
"Vigtigt" svarer til fast solafskærmning som ikke blokerer udsynet. 
"Mindre vigtigt svarer til, at der etableres udvendig solafskærmning uden hensyn til udsyn. </t>
  </si>
  <si>
    <t xml:space="preserve">Der er større tilfredshed med temperaturforholdene i en bygning, når brugerne selv har mulighed for at tilpasse rumtemperaturen både om sommeren og vinteren. 
Dette vil typisk kræve etablering af indbrudssikret naturligventilation eller køling, der vil øge energiforbruget i bygningen og resultere i ekstra anlægsomkostninger. 
Hvor vigtigt er det, at brugeren selv kan justere rumtemperaturen?
Eksempel: 
"Meget vigtigt" svarer til, at der etableres temperaturstyring inklusiv køling, der kan justeres separat i hvert rum.
"Vigtigt" svarer til, at der enten etableres køling eller naturlig ventilation med indbrudssikring, der kan justeres separat for hver bolig.
"Mindre vigtigt" svarer til, at der ikke etableres køling eller indbrudssikret naturlig ventilation. </t>
  </si>
  <si>
    <t xml:space="preserve">Det giver større tilfredshed med luftkvaliteten, når brugerne selv har mulighed for at styre ventilationen. Hvor vigtigt er det, at beboerne har mulighed for at styre ventilationen individuelt i hvert rum, enten via den mekaniske ventilation eller ved åbning af vinduer?
Eksempel: 
"Meget vigtigt" svarer til, at der er mulighed for styring af mekanisk ventilation separat i hvert rum eller at der udarbejdes en veldokumenteret strategi for naturlig tværventilation af boligen. 
"Vigtigt" svarer til, at der er mulighed for åbning af store vinduer/facadepartier eller styring af mekanisk ventilation i opholdsrum. 
"Mindre vigtigt" svarer til, at brugerne ikke selv kan regulere luftmængden enten fordi vinduerne ikke kan åbnes eller fordi selve vinduesåbningen eller lemmen i facaden er lille (under 5m2). </t>
  </si>
  <si>
    <t xml:space="preserve">Der er større tilfredshed med sollysforholdene i en bygning, når brugerne selv har mulighed for at styre solafskærmningen. 
Hvis der etableres udvendig solafskærmning, hvor vigtigt er det så, at beboerne har mulighed for manuelt at justere den udvendige solafskærmning for hvert enkelt vindue?
Eksempel: 
"Meget vigtigt" svarer til, at den udvendige solafskærmning kan justeres separat for hver enkelt vindue.
"Vigtigt" svarer til, at den udvendige solafskærmning er justérbar og kan fjernes helt fra vinduet. 
"Mindre vigtigt" vælges, hvis der ingen udvendig solafskærmning etableres eller hvis den udvendige solafskærmning ikke kan justeres. </t>
  </si>
  <si>
    <t xml:space="preserve">Niveauet for tilgængelighed i boligens opholdsrum, toilet og baderum samt fællesarealer og adgangsveje har stor betydning for om bygningen er tilgængelig for alle. 
Et øget niveau for tilgængelighed medfører større gangarealer, dørbredder og skærpede krav til belægninger. Dette vil påvirke anlægsøkonomien væsentligt og øgede krav til tilgængelighed bør altid ske ud fra en forventning om, at alle eller en andel af beboerne allerede er, eller bliver, plejekrævende. 
Hvor vigtigt er det, at kravene til tilgængelighed er skærpet i forhold til Bygningsreglementets krav?
Eksempel:
"Meget vigtigt" svarer til, at alle områder i bygningen overholder kvalitetsniveau A i SBI's anvisning 249. Dette kvalitetsniveau anvendes i boliger, hvor brugerne har et stort plejebehov og har svært ved at klare sig selv. 
"Vigtigt" svarer til, at mere end 40% af boligerne overholder kvalitetsniveau A eller alle områder i bygningen overholder kvalitetsniveau B, der sikrer en højere kvalitet af tilgængelighed end bygningsreglementets krav. 
"Mindre vigtigt" svarer til, at der er enkelte områder i bygningen, der overholder kvalitetsniveau B, mens de øvrige områder overholder bygningsreglementets minimumskrav. 
NB: Hvis det udelukkende er bygningsreglementets krav der overholdes i projektet, skal emnet tilgængelighed markeres som "ikke relevant" i det digitale værktøj under fanen "sortering af spørgsmål". </t>
  </si>
  <si>
    <r>
      <t xml:space="preserve">
</t>
    </r>
    <r>
      <rPr>
        <sz val="11"/>
        <color rgb="FFFFC000"/>
        <rFont val="Calibri"/>
        <family val="2"/>
        <scheme val="minor"/>
      </rPr>
      <t/>
    </r>
  </si>
  <si>
    <t xml:space="preserve">Et bredt udvalg af tilbud og en høj kvalitet i udearealer øger udearealernes funktionalitet, og er med til at gøre udearealerne mere attraktive for brugerne. 
Eksempler på tilbud i udearealerne: 
- Legepladser
- Områder til sport/spil
- Siddemuligheder
- Opholdsarealer til madlavning
- Fleksible overdækninger
- Afskærmning mod vind, sol og nedbør (eksempelvis beplantning)
Hvor vigtigt er det, at udearealerne indrettes med elementer, der øger funktionaliteten?
Eksempel: 
"Meget vigtigt" svarer til, at udearealerne indeholder min. 5 tilbud.
"Vigtigt" svarer til, at udearealerne indeholder min. 3 tilbud. "Mindre vigtigt" svarer til at der ingen tilbud er i udearealerne. </t>
  </si>
  <si>
    <t xml:space="preserve">Store træer eller tætte hegn langs hovedadgangsveje og på parkeringsarealer kan skærme for overblikket over arealet. Derved er der risiko for, at brugerne er utrygge ved at færdes på bygningens adgangsveje. Dette kan forhindres ved at sikre et godt overblik over de omkringliggende arealer fra hovedadgangsveje. Dette udelukker ikke, at der kan etableres interessant beplantning, men at denne beplantning skal planlægges nøje i samspil med tilbud i udearealer, stiforløb og belysning. 
Dette kan resultere i øgede krav til udendørs belysning og dermed resultere i ekstra anlægsomkostninger, men det behøver ikke være tilfældet.  
Hvor vigtigt er det, at hovedadgangsvejene til bygningen opleves som trygge at færdes på?
Eksempel: 
"Meget vigtigt" svarer til, at alle adgangsveje er overskuelige. 
"Vigtigt" svarer til, at de primære adgangsveje og parkeringsarealer er overskuelige. 
"Mindre vigtigt" svarer til, at overskuelighed ikke prioriteres i projektet. </t>
  </si>
  <si>
    <t xml:space="preserve">Det danske bygningsreglement stiller krav til, hvor højt en bygnings energibehov maksimalt må være. Der kan dog være en gevinst ved at designe bygningen, så energibehovet bliver lavere end bygningsreglementets krav, da brugernes månedlige omkostninger til energi derved bliver lavere samtidig med, at miljøpåvirkningen bliver mindre. 
Dette kan eksempelvis gøres ved at øge mængden af isolering, bedre vinduer, bedre tekniske installationer og lignende, der typisk vil medføre større anlægsomkostninger  og besparelser i driftsfasen. 
Hvor vigtigt er det, at bygningen har et lavere energibehov end bygningsreglementets krav?
Eksempel: 
"Meget vigtigt" svarer til, at bygningens energibehov er 60% lavere end Bygningsreglementets krav. 
"Vigtigt" svarer til, at bygningens energibehov er 40% lavere end bygningsreglementets krav. 
"Mindre vigtigt" svarer til, at bygningen overholder det gældende Bygningsreglement. 
</t>
  </si>
  <si>
    <t xml:space="preserve">Cykling er en miljøvenlig og sund transportform. Overdækning, belysning, cykelstativer, værkstedsfaciliteter, plads til ladcykler eller ekstra brede cykler, ladestationer til el-cykler og andre tilbud til cyklister er med til at forlænge cyklens levetid, reducere brugernes omkostninger til vedligehold af cyklen og risikoen for tyveri.  
Hvor vigtigt er det, at der indarbejdes tilbud som disse i bebyggelsen?
Eksempel: 
"Meget vigtigt" svarer til, at der etableres overdækning, cykelstativer med mulighed for fastgørelse af cykelstel, et højt belysningsniveau, værksted og lignende tilbud til beboerne og brugerne af bygningen. 
"Vigtigt" svarer til, at nogle af førnævnte tiltag etableres. "Mindre vigtigt" svarer til, at der ikke etableres nogle af førnævnte tiltag. </t>
  </si>
  <si>
    <t>Flere faktorer kan være med til at fremme, at beboerne vælger cykling som transportform. En af disse faktorer er, at der placeres cykelparkeringspladser tæt på bygningens indgange eller tæt på trappeopgange i et kælderareal. 
Hvor vigtigt er det, at der etableres cykelparkeringspladser tæt på bygningens indgange?
Eksempel: 
"Meget vigtigt" svarer til, at der etableres cykelparkering mindre end 35 m fra indgange eller fra trappeopgange i kælder. 
"Vigtigt" svarer til, at der etableres cykelparkering mindre end 100 m fra indgang eller fra trappeopgange i kælder. 
"Mindre vigtigt" svarer til, at cykelparkering placeres mere end 100 meter fra indgangen eller fra trappeopgange til boligen.</t>
  </si>
  <si>
    <t>En vigtig faktor for at fremme cykling som en foretrukken transportform blandt beboerne er, at der etableres et tilstrækkeligt antal cykelparkeringspladser til bygningens beboere. 
Hvor vigtigt er det, at der etableres cykelparkeringspladser til alle de af ejendommens beboere, der har behov for det?
Eksempel: 
"Meget vigtigt" svarer til, at der for familieboliger og etageejendomme etableres min. 3 cykelparkeringspladser pr. 100 m2 etageareal og for ungdomsboliger 1 parkeringsplads pr. beboer.
"Vigtigt" svarer til, at der for familieboliger og etageejendomme etableres min. 1 cykelparkeringsplads pr. 100 m2 etageareal og for ungdomsboliger 0,25 parkeringsplads pr. beboer.
"Mindre vigtigt" svarer til at der ikke stilles særlige krav til omfang af cykelparkering.</t>
  </si>
  <si>
    <t>Veloplyste udendørsarealer omkring eller under bygningen, herunder parkeringspladser, cykelparkering og adgangsveje til bygninger, bidrager til øget tryghed blandt bygningens brugere.
Dette kan fordyre drifts- og anlægsøkonomien på projektet. Et sådant tilvalg bør derfor kun tages, hvis man forventer, at beboerne har behov for en øget følelse af tryghed - eksempelvis på grund af bebyggelsens beliggenhed eller alderdom hos brugerne.  
Hvor vigtigt er det, at de udendørs arealer er veloplyste?
Eksempel: 
"Meget vigtigt" svarer til, at der sikres særdeles gode forhold for orientering via belysning af høj kvalitet for alle de nævnte arealer. 
"Vigtigt" svarer til, at der sikres særdeles gode forhold for orientering for udvalgte arealer. 
"Mindre vigtigt" svarer til, at der ikke stilles krav til kvaliteten af belysningen.</t>
  </si>
  <si>
    <t>Information omkring brandsikring tydeliggør reglerne for opbevaring af brandbare materialer, samt hvordan beboerne skal forholde sig i en evakueringssituation. Når dette formidles tydeligt til beboerne, øges viden om brandsikring hos disse og risikoen for uhensigtsmæssig adfærd reduceres. Relevant information er blandt andet flugtvejsplaner, samt drift og vedligehold af brandsikringsforanstaltninger, regler for opbevaring af fyrværkeri, gasflasker mv. 
Hvor vigtigt er det, at der udarbejdes information til brugerne omkring brandsikring?
Eksempel: 
"Meget vigtigt" svarer til, at beboerne (eller personalet på et plejecenter) har adgang til viden om evakuering og regler for opbevaring og at der enten holdes informationsmøder om dette eller det indgår i en lejekontrakt. 
"Vigtigt" svarer til at beboerne har nogle af oplysningerne.
"Mindre vigtigt" svarer til, at hverken krav til opbevaring af fyrværkeri eller flugtveje er oplyst i brugervejledningen.</t>
  </si>
  <si>
    <t xml:space="preserve">Høj arkitektonisk kvalitet bidrager til en bedre holdbarhed af byggeriet, fordi brugerne passer bedre på det, og fordi det er lettere at udleje eller sælge. 
Hvor vigtigt er det, at de bydende totalentrepriseteams har stor frihed i den arkitektoniske løsning?
Eksempel: "Meget vigtigt" svarer til, at der er stor frihed i den arkitektoniske løsning.
"Vigtigt" svarer til, at der er frihed for variation inden for fastlagt skitseprojekt. "Mindre vigtigt" svarer til, at den arkitektoniske løsning er defineret forud for udbuddet. </t>
  </si>
  <si>
    <t>Forudsætningen for at der i udbuddet opnås en høj arkitektonisk kvalitet er, at arkitektonisk kvalitet vægtes i udbuddet. 
Hvor vigtigt er det, at  arkitektonisk kvalitet vægtes højt ved tildeling af opgaven?
Eksempel: "Meget vigtigt" svarer til, at arkitektonisk kvalitet vægtes med minimum 20% og pris vægtes med maksimalt 40% i tildelingskriterierne. 
"Vigtigt" svarer til, at arkitektonisk kvalitet vægtes med mellem 15% og 20% af tildelingskriterierne. 
"Mindre vigtigt" svarer til, at arkitektonisk kvalitet ikke indgår i tildelingskriterierne eller vægtes meget lavt (mindre end 15%).</t>
  </si>
  <si>
    <t xml:space="preserve">En mangfoldig sammensætning af boligtyper, herunder både målgruppe, ejerforhold og størrelse, er med til at fremme en differentieret beboersammensætning, hvilket gør byggeriet attraktivt for en større brugergruppe. Derudover øges byggeriets fleksibilitet, hvis der er variation i boligstørrelserne.
Hvor vigtigt er det, at sammensætningen af boligstørrelser og beboertyper kombineres i byggeriet?
Eksempel: "Meget vigtigt" svarer til, at der sikres en høj mangfoldighed på tværs af forskellige brugergrupper og boligstørrelser og at disse er indarbejdet i byggeriet, så forskellige brugere møder hinanden. 
"Vigtigt" svarer til, at der etableres forskellige boligtyper, der etableres i forskellige dele af bebyggelsen.
"Mindre vigtigt" svarer til, at der ikke etableres forskellige boligtyper i byggeriet. 
</t>
  </si>
  <si>
    <t xml:space="preserve">Fællesområder, der er indrettet til forskellige formål og forskellige aldersgrupper, giver bygningens brugere mulighed for at mødes uformelt, hvilket øger beboernes sociale tilknytning og det gode naboskab.  Eksempler på sådanne fællesområder er fælles opholdsrum, værksteder, motionsrum og multifunktionsrum. 
Hvor vigtigt er det, at der er fælles opholdsarealer i bygningen, der har bred anvendelse og som henvender sig til flere forskellige aldersgrupper?
Eksempel: "Meget vigtigt" svarer til, at der er fælles opholdsarealer indrettet til flere aldersgrupper.
"Vigtigt" svarer til, at der er enkelte fælles opholdsarealer i bygningen
"Mindre vigtigt" svarer til, at der ikke er fælles opholdsarealer i bygningen. </t>
  </si>
  <si>
    <r>
      <t>Det øger boligernes fun</t>
    </r>
    <r>
      <rPr>
        <sz val="11"/>
        <color theme="1"/>
        <rFont val="Calibri"/>
        <family val="2"/>
        <scheme val="minor"/>
      </rPr>
      <t>ktionalitet, hvis der er afsat plads til private entréområder til de enkelte boliger som fx bryggers, vindfang, garderobe.</t>
    </r>
    <r>
      <rPr>
        <sz val="11"/>
        <rFont val="Calibri"/>
        <family val="2"/>
        <scheme val="minor"/>
      </rPr>
      <t xml:space="preserve">
Hvor vigtigt er det, at der ved alle boliger etableres et privat entréområde, </t>
    </r>
    <r>
      <rPr>
        <sz val="11"/>
        <color theme="1"/>
        <rFont val="Calibri"/>
        <family val="2"/>
        <scheme val="minor"/>
      </rPr>
      <t xml:space="preserve">så man ikke går direkte ind i et opholdsrum og hvor der er plads til opbevaring af sko, jakker og lignende?
Eksempel: 
"Meget vigtigt" svarer til, at der etableres et større entréområde ved alle boliger, som et selvstændigt område med skabe eller plads til skabe.
"Vigtigt" svarer til, at der etableres entréområde ved nogle af boligerne eller at entréområdet er en del af en fordelingsgang. 
"Mindre vigtigt" svarer til, at der ikke etableres et decideret entréareal ved den enkelte bolig. </t>
    </r>
  </si>
  <si>
    <r>
      <t xml:space="preserve">
</t>
    </r>
    <r>
      <rPr>
        <i/>
        <sz val="11"/>
        <color theme="1"/>
        <rFont val="Calibri"/>
        <family val="2"/>
        <scheme val="minor"/>
      </rPr>
      <t xml:space="preserve">
</t>
    </r>
  </si>
  <si>
    <t xml:space="preserve">Det øger boligernes attraktivitet, hvis der indrettes rum i byggeriet, der kan udlejes/lånes af personer med eller uden bolig i ejendommen, herunder eksempelvis festlokaler, kontorfællesskaber og gæstebolig. Dette øger de enkelte boligers bruttoareal, idet beboerne betaler for deres andel af fællesfaciliteterne. 
Hvor vigtigt er det, at der indrettes rum i bygningen, der kan udlånes til gæster eller pårørende? 
Eksempel: 
"Meget vigtigt" svarer til, at der er fællesrum, der udlånes til beboere og deres pårørende og at disse er opvarmede og har adgang til dagslys. 
"Vigtigt" svarer til, at rum der kan udlånes til gæster er kælderrum, der kun er delvist opvarmet og ikke har adgang til direkte dagslys. 
"Mindre vigtigt" svarer til, at der ikke etableres rum til udlån. </t>
  </si>
  <si>
    <t xml:space="preserve">Det øger boligernes funktionalitet, møder mellem beboerne og beboernes muligheder for at spare penge på tøjvask, hvis der er afsat god plads til at vaske og tørre tøj. Graden af funktionalitet afspejler sig i, hvordan rum og arealer er disponeret i bygningen. 
Hvor vigtigt er det, at der er fælles vaske- og tørrefaciliteter i byggeriet?
Eksempel: 
"Meget vigtigt" svarer til, at der etableres separate rum til vask og tørring.
"Vigtigt" svarer til, at der etableres et fælles rum til vask og tørring af tøj. 
"Mindre vigtigt" svarer til, at der ikke etableres fælles vaske- og tørrefaciliteter i bygningen. 
</t>
  </si>
  <si>
    <r>
      <t>Etablering af tilslutninger til tv, radio og internet i hvert af boligens rum (herunder værelser, opholdsrum</t>
    </r>
    <r>
      <rPr>
        <sz val="11"/>
        <color rgb="FFFF0000"/>
        <rFont val="Calibri"/>
        <family val="2"/>
        <scheme val="minor"/>
      </rPr>
      <t xml:space="preserve"> </t>
    </r>
    <r>
      <rPr>
        <sz val="11"/>
        <rFont val="Calibri"/>
        <family val="2"/>
        <scheme val="minor"/>
      </rPr>
      <t xml:space="preserve">og køkken), er med til at øge boligens fleksibilitet. En øget fleksibilitet er medvirkende til at gøre boligerne mere attraktive for beboerne. 
Hvor vigtigt er det, at der er tilslutningsmuligheder for tv, radio og internet i alle rum i boligerne?
Eksempel: 
"Meget vigtigt" svarer til, at der etableres TV/internet tilslutninger i alle boligens opholdsrum.
"Vigtigt" svarer til, at der etableres TV/internet tilslutning i et rum i boligen. 
"Mindre vigtigt" svarer til, at der ikke etableres TV/internet tilslutning i boligerne. </t>
    </r>
  </si>
  <si>
    <t xml:space="preserve">Mulighed for rumlig adskillelse af soverum og opholdsrum i boligerne gør boligerne mere attraktive for brugerne. Dette kan løses på mange måder - eksempelvis med vægge eller indskudte dæk i boligerne? Formålet med dette er, at sikre, at beboeren har mulighed for at etablere et privat område i boligen. 
Hvor vigtigt er det, at soverum og opholdsrum kan adskilles?
Eksempel: 
"Meget vigtigt" svarer til, at rumlig eller visuel adskillelse af soveværelse og opholdsrum er mulig i alle boliger.
"Vigtigt" svarer til, at rumlig eller visuel adskillelse af soveværelse og opholdsrum er mulig i nogle af boligerne. "Mindre vigtigt" svarer til, at der ikke etableres rumlig adskillelse mellem sove- og opholdsrum i boligerne.  </t>
  </si>
  <si>
    <t xml:space="preserve">Det øger boligernes anvendelighed og brugernes mulighed for at blive boende i længere tid, hvis toilet- og baderum indrettes så de let kan anvendes eller tilpasses til handicappede brugere. 
Hvor vigtigt er det, at boligernes toilet- og baderum er planlagt, så de let kan anvendes af handicappede brugere? 
Eksempel: 
"Meget vigtigt" svarer til, at alle boliger er forberedt til personer med handicap, således at værn og lignende let kan etableres. 
"Vigtigt" svarer til, at halvdelen af boligerne har en størrelse og indretning, der muliggør, at selve rummet kan tilpasses handikappede beboere via ændringen af rummets inventar
"Mindre vigtigt" svarer til, at ingen af boligerne er forberedt til ombygning. </t>
  </si>
  <si>
    <t xml:space="preserve">En boligudformning, der giver mulighed for varieret møblering i boligen, er med til at øge fleksibiliteten og gøre boligerne mere attraktive for brugere. 
Hvor vigtigt er det, at der i rumdisponeringen indtænkes forskellige muligheder for møblering af boligerne?
Eksempel: 
"Meget vigtigt" svarer til, at der er indtænkt minimum to forskellige møbleringsløsninger ved alle boligtyper. 
"Vigtigt" svarer til, at der er indtænkt forskellige møbleringsløsninger ved en andel af boligtyperne. 
"Mindre vigtigt" svarer til, at der ikke arbejdes med forskellige indretningsmuligheder.   </t>
  </si>
  <si>
    <t xml:space="preserve">Placering af køkkenet i boligerne med adgang til dagslys er med til at gøre boligerne mere attraktive for brugerne. 
Hvor vigtigt er det, at køkkenet ligger ved den udvendige facade, og at der er et vindue, der kan åbnes?
Eksempel: 
"Meget vigtigt" svarer til, at køkkener har adgang til dagslys fra vindue der kan åbnes maksimalt 3 meter fra køkkenet.
"Vigtigt" svarer til, at køkkener har adgang til dagslys fra vindue der er mere end 3 meter fra køkkenet. 
"Mindre vigtigt" svarer til, at der ikke er adgang til dagslys fra køkkenet. </t>
  </si>
  <si>
    <t xml:space="preserve">Placering af bad i boligerne, så de har adgang til dagslys og frisk luft, er med til at gøre boligerne mere attraktive for brugerne. Hvor vigtigt er det, at toilet- og baderum ligger ved den udvendige facade, og at der er et vindue, der kan åbnes?
Eksempel: 
"Meget vigtigt" svarer til, at der i toilet- og baderum er vinduer, der kan åbnes.
"Vigtigt" svarer til, at der i toilet- og baderum er vinduer, der ikke kan åbnes. 
"Mindre vigtigt" svarer til, at der ikke er vinduer i toilet- og baderum. </t>
  </si>
  <si>
    <t xml:space="preserve">Det påvirker brugernes tilfredshed med boligen, hvis der er god plads til garderobe, opbevaringsmuligheder/depotrum til rådighed for brugeren. 
Hvor vigtigt er det, at der indrettes god plads til garderobe, depotrum inde i og/eller uden for boligerne?
Eksempel: 
"Meget vigtigt" svarer til, at der etableres garderobe i boligen, samt private depotrum både i og uden for boligen.
"Vigtigt" svarer til, at der etableres garderobe i boligen og private depotrum enten i eller uden for boligen. 
"Mindre vigtigt" svarer til, at der ikke etableres opbevaring hverken indenfor eller udenfor boligen. </t>
  </si>
  <si>
    <t xml:space="preserve">Udover dagslys sikrer vinduer i en bygning udsigt til omgivelserne. Modsat kan placeringen af vinduer også bevirke, at privatsfæren i boligen indskrænkes, hvis personer fra nabobygninger kan kigge ind i boligen. Dette begrænser ikke det samlede vinduesareal i boligen, men stiller krav til udformningen af vinduerne i forhold til indbliksgener. 
Hvor vigtigt er det, at risiko for indkig i boligen forebygges, f.eks. via placering og størrelse på boligens vinduer?
Eksempel: 
"Meget vigtigt" svarer til, at risiko for indkig er reduceret ved alle boliger.
"Vigtigt" svarer til, at risiko for indkig er reduceret ved andel af boliger. 
"Mindre vigtigt" svarer til, at der ikke er forebygget indkig i boligerne. </t>
  </si>
  <si>
    <t>Udsigten fra en bolig giver brugeren en fornemmelse for livet omkring bygningerne og årstidernes skiften. 
Muligheden for at skabe udsigt for alle boliger stiller krav til at der sikres tilstrækkeligt friareal omkring byggeriet, hvilket kan presse byggeriet i højden og dermed øge anlægsomkostningerne til byggeriet, hvis det kommer over 22 meter fra underside af det øverste vindue. 
Hvor vigtigt er det, at der er fokus på at etablere god udsigt fra alle boliger?
Eksempel: 
"Meget vigtigt" svarer til, at boligerne har uhindret udsyn over landskab.
"Vigtigt" svarer til, at boligerne har udsyn til grønne arealer. 
"Mindre vigtigt" svarer til, at boligerne har udsyn til en bygade.</t>
  </si>
  <si>
    <t xml:space="preserve">Etablering af direkte forbindelse mellem boligen og friarealerne skaber større tilfredshed blandt beboerne i en beboelsesejendom. Hvor vigtigt er det, at hver bolig har direkte forbindelse samt udsyn til de udendørs friarealer?
Eksempel: 
"Meget vigtigt" svarer til, at boliger har direkte forbindelse fra boligen til private udendørs arealer.
"Vigtigt" svarer til, at boliger har direkte forbindelse til fælles udendørs arealer. 
"Mindre vigtigt" svarer til, at der fra boligen er adgang til fælles udearealer via en trappeopgang. </t>
  </si>
  <si>
    <t xml:space="preserve">Øget brandsikkerhed bidrager positivt til brugernes sikkerhed, og hvis der opstår brand i ejendommen begrænses skaderne. Øget brandsikkerhed vil med stor sandsynlighed øge anlægsomkostningerne til byggeriet og størrelsen af fællesarealer i boligerne, med mindre det tænkes ind i bygningsdesignet fra starten. 
Hvor vigtigt er det, at der i projektet stilles brandkrav, der går udover myndighedskrav til projektet? 
Eksempel:
"Meget vigtigt" svarer til, at kravene til brandsikkerhed er udvidet væsentligt via  en række tiltag - eksempelvis hvis der etableres kortere og bredere flugtveje, mindre brandsektioner, øget brandmodstandsevne, hensyn til personer med nedsat funktionsevne, brandsektionering af hver opgang, selvlukkende døre, aflukkede rum til barnevogne i anden brandsektion end trappeopgangen mv. 
"Vigtigt" svarer til, at der tilvælges mange af tiltag under "Meget vigtigt"
"Mindre vigtigt" svarer til, at myndighedskrav overholdes og at der ikke er ekstra tilvalg for brandsikkerhed. </t>
  </si>
  <si>
    <t xml:space="preserve">Indbrudssikring bidrager til en oplevelse af tryghed blandt bygningens brugere, som øger tilfredsheden med byggeriet samtidig med at risikoen for kriminalitet reduceres. Eksempler på tiltag der øger sikkerhed omkring adgang til opgange er: alarmanlæg, øget modstandsklasse af døre og vinduer i stueplan, videokamera i dørtelefon. 
Hvor vigtigt er det, at der installeres ekstra indbrudssikring i byggeriet?
Eksempel: 
"Meget vigtigt" svarer til, at der etableres flere ekstra sikkerhedsforanstaltninger.
"Vigtigt" svarer til, at der etableres en enkelt ekstra sikkerhedsforanstaltning. 
"Mindre vigtigt" svarer til, at der ingen ekstra sikkerhedsforanstaltninger etableres. </t>
  </si>
  <si>
    <t xml:space="preserve">Spørgsmål til brugervejledning:
Hvorfor betyder et reduceret energibehov ikke nødvendigvis en reduceret miljøbelastning?
Det er fordi forsyningskilderne i Danmark i mindre og mindre grad er baseret på fossile brændsler som kul og olie men i højere og højere grad baseres på biomasse, sekundære brændsler (affald) og vedvarende energi. I takt med denne omstilling vil miljøpåvirkningen fra energiforbrug i bygninger blive mindre. Det er dog fortsat relevant at spare på energien, da det giver en økonomisk besparelse og reducerer omkostningerne til omstillingen til en mere vedvarende forsyning i Danmark. </t>
  </si>
  <si>
    <t>Klimaskærmens U-værdier, der fortæller om klimaskærmens isoleringsevne, har stor betydning for bygningens energiforbrug og oplevelsen af træk fra facader og lofter. En forbedring af klimaskærmen vil øge materialeforbruget til byggeriet og dermed øge både anlægsøkonomien og miljøbelastningen fra byggeriets materialer. Det vil dog samtidig reducere omkostninger til opvarmning og nedkøling af byggeriet og dermed sikre økonomiske driftsbesparelser. 
Hvor vigtigt er det, at klimaskærmens isoleringsevne forbedres i forhold til bygningsreglementets krav?
Eksempel:
"Meget vigtigt" svarer til, at der for alle klimaskærmens komponenter vælges produkter og løsninger der svarer til de bedste U-værdier på markedet. 
"Vigtigt" svarer til, at der for dele af klimaskærmen vælges løsninger, med de bedste U-værdier på markedet.
"Mindre vigtigt" svarer til, at Bygningsreglementets krav overholdes.</t>
  </si>
  <si>
    <t>Samlinger ved døre og vinduer samt samlinger mellem forskellige konstruktioner kan skabe en kuldebro, også kaldet et linjetab. Ved disse samlinger slipper en større mængde varme ud end ved resten af klimaskærmen. Sådanne linjetab har betydning for bygningens energiforbrug og risikoen for træk fra utætheder i klimaskærmen. 
Hvor vigtigt er det, at klimaskærmens linjetab forbedres udover Bygningsreglementets krav?
Eksempel:
"Meget vigtigt" svarer til, at der for alle klimaskærmens komponenter vælges produkter og løsninger der svarer til de bedste linjetab på markedet. 
"Vigtigt" svarer til, at der for dele af klimaskærmen vælges løsninger med de bedste linjetab på markedet. 
"Mindre vigtigt" svarer til, at Bygningsreglementets krav overholdes.</t>
  </si>
  <si>
    <t xml:space="preserve">Klimaskærmens - det vil sige ydervægge, tag/loft, gulv i stue/kælder og kældervægge -  varmetab har betydning for bygningens energiforbrug, driftsøkonomi og risikoen for træk fra kolde flader. Bygningsreglementet har derfor defineret, hvor meget varme bygningen må tabe pr. m2 af den del af klimaskærm, der ikke er vinduer. 
Hvor vigtigt er det, at klimaskærmens varmetab forbedres udover Bygningsreglementets krav?
Eksempel:
"Meget vigtig" svarer til, at varmetabet gennem klimaskærmen svarer til lden skrappeste lavenergiklasse i Bygningsreglementet. 
"Vigtigt svarer til, at varmetabet er lavere end Bygningsreglementets krav for nye bygninger. 
"Mindre vigtigt" svarer til, at Bygningsreglementets krav til renovering overholdes. </t>
  </si>
  <si>
    <t xml:space="preserve">Vinduesrammernes indvendige overfladetemperatur kan resultere i skimmel og fugt på vinduesrammen, hvis rammens temperatur bliver for lav om vinteren. Dette kan enten løses via øget kontrolleret ventilation eller valg af "varme" vinduesrammer og karme. Dette valg kan fordyre prisen af vinduer til byggeriet. 
Hvor vigtigt er det, at der stilles krav til vindueskonstruktionernes overfladetemperatur?
Eksempel: 
"Meget vigtigt" svarer til, at vinduesrammens indvendige overfladetemperatur er minimum 15C (de nyeste rammer på markedet) 
"Vigtigt" svarer til, at den indvendige overflade temperatur er minimum 12C (standardrammer på moderne vinduer)
"Mindre vigtigt" svarer til, at den indvendige overfladetemperatur er mindre end 9,3C (alle vinduer på det danske marked). </t>
  </si>
  <si>
    <t>Vinduernes energibalance - det vil sige balancen mellem den mængde varme, som vinduet taber og det tilskud af varme, som vinduet giver - er med til at reducere behovet for opvarmning af boligen. Dette kan give anledning til overophedning i rum, med store vinduer mod syd og vest og tiltaget bør derfor sammenholdes med om der er tale om en lav-energi bygning eller en renoveret bygning med et større varmetab. 
Hvor vigtigt er det, at der opnås et større varmetilskud via vinduer i bygningen end der tabes?
Eksempel: 
"Meget vigtigt" svarer til, at der opnås et større varmetilskud end varmetab igennem vinduet end Bygningsreglementet foreskriver.
"Vigtigt" svarer til, at der i de fleste tilfælde opnås et større varmetilskud end varmetab end Bygningsreglementet foreskriver. 
"Mindre vigtigt" svarer til, at Bygningsreglementets krav overholdes og at vinduet ikke taber mere varme end det giver i tilskud.</t>
  </si>
  <si>
    <t>Bygningens tæthed er med til at sikre et lavt energibehov i driften og forebyggelse af oplevelsen af træk fra facaden. 
Tætte boliger stiller større krav til ventilation og at man selv udlufter sin bolig. I nye bygninger og større ombygninger er dette løst via et krav om balanceret mekanisk ventilation. 
Hvor vigtigt er det, at klimaskærmens samlede tæthed forbedres udover bygningsreglementets minimumskrav til tæthed?
Eksempel: 
"Meget vigtigt" svarer til, at klimaskærmens samlede tæthed er eftervist via en blowerdoor test svarer til en lavenergibygning.  
"Vigtigt" svarer til, at klimaskærmens samlede tæthed er eftervist via en blowerdoor test og at den er lavere end Bygningsreglementets krav. 
"Mindre vigtigt" svarer til, at Bygningsreglementets minimumskrav overholdes.</t>
  </si>
  <si>
    <t xml:space="preserve">Fugtophobning i bygningsdele kan føre til skimmelvækst og forårsage allergiske reaktioner hos bygningens brugere, samt reducere konstruktioners bæreevne. 
Hvor vigtigt er det, at der stilles krav til at det kan dokumenteres, at klimaskærmens konstruktioner er udført så fugtophobning forebygges?
Eksempel: 
"Meget vigtigt" svarer til, at der udføres fugtberegninger på udsatte bygningsdele.
"Vigtigt" svarer til, at bygningen primært består af almindeligt anvendte konstruktioner og der udarbejdes et notat, der beskriver risikoen for fugt i bygningens konstruktioner. 
"Mindre vigtigt" svarer til, at der ikke udarbejdes dokumentation for risiko for ophobning af fugt i bygningens konstruktioner. </t>
  </si>
  <si>
    <t xml:space="preserve">Rengøring og vedligehold af en bygning kræver både tid og ressourcer. Ved at sikre adgang til konstruktionsdele der kræver vedligehold som eksempelvis indbygget træ eller stål, der udsættes for fugt, øges sandsynligheden for, at bygningen vedligeholdes efter hensigten. 
Hvor vigtigt er det, at bygningens primære konstruktioner enten er let tilgængelige for vedligehold eller er fuldstændig vedligeholdelsesfrie?
Eksempel: 
"Meget vigtigt" svarer til, at de primære konstruktioner er fritliggende eller vedligeholdelsesfri.
"Vigtigt" svarer til, at de primære konstruktioner er skjult bag afsatser, der let kan afmonteres. 
"Mindre vigtigt" svarer til, at svært tilgængelige konstruktioner ikke er lette at vedligeholde. </t>
  </si>
  <si>
    <t xml:space="preserve">Vinduer kræver løbende rengøring og vedligehold, hvilket kræver både tid og ressourcer. Valg af vinduestyper der er lette at rengøre og vedligeholde øger levetiden på vinduerne og minimerer miljøbelastninger til rengøring og udskiftning. 
Hvor vigtigt er det, at vinduer er lette at vaske og vedligeholde?
Eksempel: 
"Meget vigtigt" svarer til, at alle vinduer er dreje-kip eller kan nås fra terræn eller altan uden teleskopstang.
"Vigtigt" svarer til, at vinduer kan vaskes fra terræn eller med teleskopstang. 
"Mindre vigtigt" svarer til, at højtsiddende vinduer skal vaskes udefra med en kran eller lignende. </t>
  </si>
  <si>
    <t xml:space="preserve">Den valgte gulvbelægningstype kan have stor betydning for boligens rengøringsvenlighed. Trægulve, vinyler, laminater og linoleum nemt at rengøre.
Snavs og slid ses nemmere på ensfarvede gulve, hvorimod ikke ensfarvede gulve typisk vil fremstå pæne i længere tid og derfor øges behovet for hyppigt renhold. 
Hvor vigtigt er det, at gulvbelægningen er tolerant overfor let tilsmudsning og er let at rengøre?
Eksempel: 
"Meget vigtigt" svarer til, at alle gulvoverflader er nemme at rengøre og at disse ikke er ensfarvede. 
"Vigtigt" svarer til, at nogle gulvoverflader er nemme at rengøre, mens ensfarvede gulve accepteres i nogle områder. 
"Mindre vigtigt" svarer til, at der ikke er særligt fokus på dette. </t>
  </si>
  <si>
    <t>Etablering af smudsopsamlingszoner, som riste eller måtter, både udenfor bygningens indgange og indenfor, sikrer at en stor del snavs fra fodtøj opsamles allerede ved indgangen. Hermed mindskes omfanget af snavs i boligen og dermed behovet for rengøring.
Hvor vigtigt er det, at der er måtter og/eller riste ved hver bygningsindgange?
Eksempel:
"Meget vigtigt" svarer til, at der etableres måtter og riste ved alle indgange.
"Vigtigt" svarer til, at der etableres måtter/riste ved bygningens hovedindgang. 
"Mindre vigtigt" svarer til, at der ikke etableres måtter/riste ved bygningens indgange.</t>
  </si>
  <si>
    <t xml:space="preserve">Uhensigtsmæssig placering af konstruktioner og installationer, herunder søjler, der står tæt op ad en væg, radiatorer, der sidder lavt, synlige rørføringer mv. der vanskeliggør rengøringen. 
Hvor vigtigt er det, at bygningen er indrettet, så den er nem at rengøre?
Eksempel: 
"Meget vigtigt" svarer til, at der etableres gulvvarme i alle rum i boligen, indbyggede rørføringer mv. samt at det er let at rengøre bag fritstående konstruktioner med en støvsuger eller kost.
"Vigtigt" svarer til, at der er rengøringsvenlig indretning, og opvarmning sker via radiator.
"Mindre vigtigt" svarer til, at der er flere steder i bygningen, hvor det er svært at komme til med en støvsuger eller lignende. </t>
  </si>
  <si>
    <t>Rengøringsvenligheden i køkkener og toiletter påvirkes i høj grad af, hvorvidt overfladerne på køkkenbordene er vandafvisende og om der er synlig rørføringer i toilet- og baderum. Rengøringsvenlige og vandafvisende overflader samt skjulte rørføringer er fremmende for at kunne opretholde en god hygiejne og en god holdbarhed for de enkelte bygningsdele. 
Hvor vigtigt er det, at køkkener, toilet- og baderum indrettes, så de er lette at renholde?
Eksempel: 
"Meget vigtigt" svarer til, at der stilles høje krav til vandafvisende bordplader og stænkplader i køkkener samt skjulte rørføringer.
"Vigtigt" svarer til, at der stilles krav til rengøringsvenlige overflader og skjulte rørføringer i enten køkkener eller vådrum.  
"Mindre vigtigt" svarer til, at der hverken etableres vandafvisende overflader og skjulte rørføringer.</t>
  </si>
  <si>
    <t>Ordforklaring:
- Systematisk idriftsættelse (Commissioning)  
Commissioning = Begrebet dækker over den proces, der anvendes til at granske projektets ressourceforbrugende systemer i alle byggeriets faser (idé- og programmeringsfasen, projekteringsfasen, udførelsesfasen, idriftsættelsesfasen og driftsfasen). Ved ibrugtagningen suppleres entreprenørens funktionstest med en gennemgang af systemernes grænseflader - dvs. de steder hvor forskellige systemer grænser op til hinanden. 
- Re-commissioning = En re-commissioning er en udvidelse af en commissioning proces, hvor forbruget i bygningen løbende overvåges over en længere periode - 14 måneder, så forbruget overvåges gennem skiftende årstider. Derved kan der gennemføres efterjusteringer af anlægget, hvis bygningssystemerne ikke fungerer optimalt, hvilket sikrer en mere bæredygtig brug.
- Indregulering = Regulering af indstillingerne til de tekniske installationer, så det sikres, at de er indstillet, således at kravene til bygningsdriften overholdes (herunder eksempelvis, at ventilationen er indstillet til at indblæse den luftmængde, der er nødvendig for at opretholde et tilfredsstillende indeklima).</t>
  </si>
  <si>
    <t>En systematisk idriftsættelse af byggeriets installationer er med til at sikre, at installationerne fungerer som de skal, og at energiforbruget til drift af installationerne svarer til det projekterede, samt at installationerne regulerer indeklimaet efter hensigten. 
Hvor vigtigt er det, at der udføres en systematisk idriftsættelse og indregulering af byggeriets installationer?
Eksempel: 
"Meget vigtigt" svarer til, at der afsættes midler til en systematisk idriftsættelse inkl. løbende overvågning af de tekniske systemer over en længere periode på op til 14 måneder. 
"Vigtigt" svarer til, at der afsættes midler til at gennemføre en systematisk idriftsættelse op til afleveringen. 
"Mindre vigtigt" svarer til at der sker tværfaglig granskning af projektforslag og hovedprojekt og at funktionstest dokumenteres af udførende.</t>
  </si>
  <si>
    <t xml:space="preserve">Et godt grundlag for et bæredygtigt byggeri starter allerede i den indledende planlægning af byggeriet. For at sikre størst mulig værdi for brugere og bygherre skal det sikres, at byggeriet fungerer efter hensigten, og at bæredygtighedsvisionerne implementeres både i byggeriet og på langt sigt. Derfor er det vigtigt at definere klare målsætninger i byggeprogrammet herunder tidsplaner, kravspecifikationer og niveauet af bæredygtighed i byggeprogrammet. 
Hvor vigtigt er det, at der formuleres detaljerede beskrivelser af projektets forudsætninger, funktionskrav og interessenter, samt at der defineres fokusområder inden for bæredygtighed?
Eksempel: 
"Meget vigtigt" svarer til, at udbudsmaterialet er meget detaljeret, at bæredygtighedsmål er uddybet i byggeprogrammet og der følges op på at målene indfries. 
"Vigtigt" svarer til, at udbudsmaterialet er detaljeret, og at de væsentligste fokusområder for bæredygtighed er defineret overordnet i byggeprogrammet. 
"Mindre vigtigt" svarer til, at byggeprogrammet ikke er særligt detaljeret, og at der ikke stilles særlige krav til bæredygtigheden i projektet. </t>
  </si>
  <si>
    <t xml:space="preserve">Bruger- og procesudstyr har en stor indflydelse på en bygnings energiforbrug. Bruger- og procesudstyr er i boliger hårde hvidevarer, herunder køleskab, vaskemaskine, tørretumbler og opvaskemaskine, men også TV og computer.
Hvor vigtigt er det, at der stilles vejledende krav til varmeafgivelse og strømforbrug fra bruger- og procesudstyr?
Eksempel: 
"Meget vigtigt" svarer til, at der, ud over det parameter der fremgår under "vigtigt", indgås en aftale med beboerne om brugerudstyrets maksimale energiforbrug.
"Vigtigt" svarer til, at det udstyr, som byggeriet afleveres til beboeren med er strøm- og energibesparende. 
"Mindre vigtigt" svarer til, at reduktion af energiforbrug fra bruger og procesudstyr ikke prioriteres. </t>
  </si>
  <si>
    <r>
      <t xml:space="preserve">
</t>
    </r>
    <r>
      <rPr>
        <i/>
        <sz val="11"/>
        <color theme="9"/>
        <rFont val="Calibri"/>
        <family val="2"/>
        <scheme val="minor"/>
      </rPr>
      <t/>
    </r>
  </si>
  <si>
    <t xml:space="preserve">Et grundlæggende element for bæredygtigheden i et byggeri er, at der sikres et velfungerende tværfagligt samarbejde mellem de forskellige fagdiscipliner, der er involveret i design og projektering af en bygning, og at dette samarbejde etableres allerede i den tidlige designfase. Vigtige fagfolk, der er relevante at inkludere i et tværfagligt designteam, er eksempelvis arkitekt, forskellige fagingeniører (konstruktion, installation, brand, energi, indeklima og bæredygtighed etc.), entreprenør og driftspersonale. 
Hvor vigtigt er det, at der stilles krav om et tæt samarbejde mellem arkitekt- og ingeniørrådgiverne, samt at driftspersonale og entreprenør(er) inddrages flere gange fra program til idriftsætning?
Eksempel:  
"Meget vigtigt" svarer til, at der etableres et tværfagligt designteam med minimum 5 fagfolk inden for forskellige discipliner, der dokumenterer en integreret design proces fra tidligt i designprocessen, samt at der sker løbende samarbejde med driftspersonale og entreprenør.
"Vigtigt" svarer til, at der etableres et tværfagligt designteam med min. 5 fagfolk inden for forskellige discipliner. 
"Mindre vigtigt" svarer til, at der ikke er særlig fokus på dette emne. </t>
  </si>
  <si>
    <t>Det sikrer en større tilfredshed med byggeriet, hvis de fremtidige brugere eller repræsentanter for de fremtidige brugere (eksempelvis beboerdemokrater) inddrages i planlægningen og behovsbeskrivelsen for byggeriet. 
Hvor vigtigt er det, at brugere eller brugerrepræsentanter har mulighed for at være medbestemmende i udviklingen af projektet?
Eksempel: 
"Meget vigtigt" svarer til, at beboere har været medbestemmende i projektet - det vil sige at beboerne har haft reel indflydelse på projektet - og at der udpeges en beboerkonsulent hos rådgiver/entreprenør til at varetage kommunikationen med beboerne i processen.
"Vigtigt" svarer til, at beboere har været medbestemmende i projektet. 
"Mindre vigtig" svarer til, at de kommende brugere, eller repræsentanter for de kommende brugere, udelukkende orienteres om projektet på et overordnet niveau.</t>
  </si>
  <si>
    <t>Ved at inddrage naboerne i planlægningen af projektet skabes en større accept af byggeriet samt færre konflikter med naboer og borgere i nærområdet. 
Hvor vigtigt er det, at naboer/borgere i nærområdet er inddraget i projektet, og at der tages hensyn til deres tilbagemeldinger og forslag?
Eksempel: 
"Meget vigtigt" svarer til, at projektet tilpasses og tager hensyn til tilbagemeldinger fra naboer. 
"Vigtigt" svarer til, at naboer informeres om projektet. 
"Mindre vigtigt" svarer til, at naboer hverken inddrages eller orienteres om projektet.</t>
  </si>
  <si>
    <t xml:space="preserve">En plan med målsætninger for projektets bæredygtighed er vigtig, hvis det skal lykkedes at skabe et bæredygtigt projekt uden store økonomiske omkostninger. 
Hvor vigtigt er det, at der udarbejdes en plan for bæredygtighed i projektet, hvor det er beskrevet, hvem der er ansvarlig for at dokumentere og indarbejde målsætningerne i projektet?
Eksempel: 
"Meget vigtigt" svarer til, at bæredygtighedsplanen inkluderer definition af ansvarsområder, og at den løbende opdateres. "Vigtigt" svarer til, at bæredygtighedsplanen er udarbejdet, men at der ikke følges op på denne løbende. 
"Mindre vigtigt" svarer til, at der ikke laves en bæredygtighedsplan. </t>
  </si>
  <si>
    <t xml:space="preserve">Planlægningen af et projekt er vigtig, hvis bæredygtighed skal sikres. Det er vigtigt at etablere et tidligt samarbejde i et tværfagligt designteam. Teamet skal udvikle og afdække mulige løsninger, der er optimeret i forhold til de krav, der stilles til byggeriet. 
Hvor vigtigt er det, at der formuleres detaljerede koncepter for energi, vand, lys, fleksibilitet og genanvendelse, klimatilpasning, affaldshåndtering hos brugerne, brand, forbrugsmåling, analyser af miljøpåvirkning og totaløkonomi for alternative løsninger?
Eksempel: 
"Meget vigtigt" svarer til, at der udarbejdes koncepter og analyser for alle de nævnte emner. 
"Vigtigt" svarer til, at der udarbejdes ca. halvdelen af koncepterne og/eller analyserne. 
"Mindre vigtigt" svarer til, at der ikke udarbejdes nogen koncepter eller analyser.   </t>
  </si>
  <si>
    <t xml:space="preserve">Det understøtter den gode proces omkring gennemførelse af projektets målsætninger for bæredygtighed, hvis der ved udvælgelse af entreprenørteam lægges vægt på, at ansøgerne har erfaring med at arbejde med miljøledelse og social ansvarlighed (CSR). 
Hvor vigtigt er det, at de ansøgende entreprenører kan fremvise referencer der viser, at de har erfaring med CSR og miljøledelse f.eks. gennem kurser, politikker eller tidligere projekter?
Eksempel: 
"Meget vigtigt" svarer til, at krav om entreprenørernes dokumentation af referencer fra tidligere bæredygtige projekter/kurser og overbevisende dokumentation for firmaets arbejde med CSR og miljøledelse indgår i udvælgelses (PQ) og tildelingskriterier med minimum 15%.
"Vigtigt" svarer til, at bydende entreprenører udelukkende skal aflevere referenceprojekter i deres PQ ansøgning.  
"Mindre vigtigt" svarer til, at de bydende ikke skal fremsende dokumentation for CSR og miljøledelse. </t>
  </si>
  <si>
    <t xml:space="preserve">Processen omkring drift og vedligehold (D&amp;V) af bygningen kan optimeres ved, at alt det relevante materiale omkring vejledning, inspektion og drift af bygningen er let tilgængeligt og nemt at finde for de personer, der skal bruge materialet for at udføre deres arbejde (eksempelvis vicevært/varmemester, rengøringspersonale, vinduespudser, gartner etc.). 
Hvor vigtigt er det, at der udarbejdes detaljerede drift- og vedligeholdelsesvejledninger samt en skematik, der gør det nemt at overskue, hvor relevante anvisninger findes i materialet, og hvornår bygningskomponenterne skal vedligeholdes eller udskiftes?
Eksempel: 
"Meget vigtigt" svarer til, at D&amp;V-materiale inkluderer et skematisk overblik, der angiver frekvens af rengøring og vedligehold, henvisninger til relevante brugermanualer samt hvilke personer, der er ansvarlige for vedligehold.
"Vigtigt" svarer til, at D&amp;V-materiale udleveres, som et velstruktureret materiale, til relevante personer herunder bygherre og driftsperson. 
"Mindre vigtigt" svarer til, at der ikke stilles særlige krav ud over lovkrav. </t>
  </si>
  <si>
    <r>
      <t>Opdater</t>
    </r>
    <r>
      <rPr>
        <sz val="11"/>
        <color rgb="FF00B050"/>
        <rFont val="Calibri"/>
        <family val="2"/>
        <scheme val="minor"/>
      </rPr>
      <t>ede</t>
    </r>
    <r>
      <rPr>
        <sz val="11"/>
        <rFont val="Calibri"/>
        <family val="2"/>
        <scheme val="minor"/>
      </rPr>
      <t xml:space="preserve"> tegninger og beregninger, der svarer til det færdige byggeri og er tilgængelige i forbindelse med senere modernisering, ombygning eller renovering af bygningen (as-built materiale), er tidsbesparende for driftspersonalet og reducerer risikoen for uforudsete omkostninger ved en ombygning eller renovering.  As-built kan være af svingende kvalitet og er ikke altid 100% opdateret. 
Hvor vigtigt er det, at der ved færdiggørelse af byggeriet foreligger as built-versioner af tegninger, beregninger og andre relevante dokumenter?
Eksempel: 
"Meget vigtigt" svarer til, at 'As-build materialet' er fuldstændigt tilrettet det færdige byggeri og at detaljeringsgraden på materialet er høj.
"Vigtigt" svarer til, at 'As build materialet' i væsentlig grad svarer til det færdige byggeri uden opdaterede beregninger. 
"Mindre vigtigt" svarer til, at der ikke udarbejdes 'As-built materialet' ikke er opdateret og der udelukkende afleveres tegninger fra hovedprojektet. </t>
    </r>
  </si>
  <si>
    <t>Brugerne har stor indflydelse på om projektets bæredygtighedsmål kan realiseres. Det er derfor væsentligt, at brugerne modtager den nødvendige information om, hvordan de kan bidrage til, at el, energi og vandforbrug minimeres og indeklimaet optimeres. 
Hvor vigtigt er det, at der udarbejdes en håndbog til brugerne med information omkring, hvilke forudsætninger, der skal opfyldes for at bygningens tekniske installationer fungerer korrekt?
Eksempel: 
"Meget vigtigt" svarer til, at brugerne modtager en brugerhåndbog og at vejledninger i brugerhåndbogen suppleres af guide til mere bæredygtig brug af bygningen samt eventuelt informationsmøder.
"Vigtigt" svarer til, at der laves en brugerhåndbog, men bæredygtighedsmål indarbejdes kun i begrænset omfang. 
"Mindre vigtigt" svarer til, at der ikke indarbejdes bæredygtighedsmål i brugermanualen eller der ikke udarbejdes en brugermanual.</t>
  </si>
  <si>
    <t>I anlægsfasen af et byggeri fremkommer der en del byggeaffald, som skal bortkøres til genbrug, forbrænding eller deponi. Da det er en stor belastning for miljøet at afbrænde affald, er der en miljømæssig fordel i at sikre en høj genanvendelse af byggeaffaldet. Ved at stille krav om dokumentation for mængder og kildesortering (dvs. sortering i forskellige materialekategorier) af byggeaffaldet øges entreprenørens bevidsthed og interesse for at reducere affaldet. Der er en økonomisk gevinst for entreprenøren ved at sortere affaldet bedre, hvis denne håndterer byggeaffald lovligt. 
Hvor vigtigt er det, at det dokumenteres, at byggeaffald kildesorteres, så det kan genanvendes eller bortskaffes efter kommunens forskrifter? 
Eksempel: 
"Meget vigtigt" svarer til, at entreprenørerne dokumenterer deres kildesortering via daterede fotos og vejesedler, og at byggepladsarbejdere instrueres i byggepladsens regler for kildesortering. 
"Vigtigt" svarer til, at der afleveres daterede fotos og vejesedler. 
"Mindre vigtigt" svarer til, at kildesortering ikke dokumenteres og det forventes, at entreprenøren overholder gældende lovgivning.</t>
  </si>
  <si>
    <t>I anlægsfasen af et byggeri afgiver arbejde på pladsen støj og vibrationer fra de maskiner og processer, der benyttes på byggepladsen. Støj og vibrationer påvirker livskvaliteten for naboer og dyreliv i området, og vibrationer kan desuden give sætningsskader på naboejendomme. Målinger vil medføre omkostninger og det anbefales, at disse anvendes i situationer, hvor der er reel risiko for sætningsskader og vibrationsskader på naboejendomme.
Hvor vigtigt er det, at der stilles krav til at støj og vibrationsniveauet på byggepladsen skal planlægges og minimeres af hensyn til naboer og risiko for erstatningskrav?
Eksempel: 
"Meget vigtigt" svarer til, at støj og vibrationer fra byggepladsen er minimeret og planlagt hensynsfuldt og at disse er dokumenteret via målinger jf krav indarbejdet i byggeprogrammet. 
"Vigtigt" svarer til, at støj og vibrationer fra byggepladsen er minimeret og planlagt hensynsfuldt. 
"Mindre vigtigt" svarer til, at der ikke tages særlige hensyn, udover gældende lovgivning.</t>
  </si>
  <si>
    <t>I anlægsfasen af et byggeri forekommer støv fra de arbejder, der foregår på byggepladsen. Støv kan skabe gener for naboer, trafikanter og byggepladsarbejdere samt skade det omgivende dyre- og planteliv. 
Som udgangspunkt er dette område reguleret af arbejdsmiljølovgivningen og planloven og dette kriterium fokuserer på, at det dokumenteres, at lovgivningen er overholdt. 
Hvor vigtigt er det, at der stilles til ansvarlig håndtering af støv på byggepladsen?
Eksempel: 
"Meget vigtigt" svarer til, at der er taget relevante forholdsregler og dette dokumenteres via daterede fotos af arbejdspladser, udstyr med støvsugere, tildækkede eller våde jordvolde. 
"Vigtigt" svarer til, at der er gjort projektspecifikke forholdsregler, og at dette dokumenteres via en beskrivelse og enkelte fotos. 
"Mindre vigtigt" svarer til, at der ikke foretages særlige tiltag, ud over lovkrav.</t>
  </si>
  <si>
    <t xml:space="preserve">I anlægsfasen anvendes maskiner og kemiske produkter, der risikerer at belaste jord og overfladevand, hvis disse ikke opbevares og håndteres korrekt. Hvor vigtigt er det, at der stilles krav om, at kemi opbevares så risikoen for, at det drypper ned og forurener jorden, minimeres, at der skal udlægges køreplader på byggepladsen i områder med eksisterende muld og indhegning af bevaringsværdig beplantning, og at det via fejning af veje og eventuelt afvaskning af hjul forebygges, at jord fra byggepladsen spredes til omkringliggende områder?
Eksempel: "
Meget vigtigt" svarer til, at jord og overfladevand beskyttes, og at dette dokumenteres via daterede fotos og vejledninger til byggepladsarbejdere. 
"Vigtigt" svarer til, at kemi opbevares forsvarligt og der anvendes køreplader, men dette kun dokumenteres via en beskrivelse og enkelte fotos. 
"Mindre vigtigt" svarer til, at der ikke tages særlige forholdsregler på byggepladsen ud over gældende lovgivning. </t>
  </si>
  <si>
    <t xml:space="preserve">I anlægsfasen anvendes energi til skurbyen, belysning, maskiner, udtørring og opvarmning af byggeriet. Afhængig af energikilden vil miljøbelastningen herfra være stor eller lille. Ved at etablere en energieffektiv byggeplads sparer bygherre eller entreprenøren penge samtidig med, at miljøbelastningen reduceres.  
Hvor vigtigt er det, at der stilles krav om at der etableres en energieffektiv byggeplads og at energiforbrug på byggepladsen overvåges og dokumenteres?
Eksempel: 
"Meget vigtigt" svarer til, at der etableres en energieffektiv byggeplads, hvor forbruget overvåges meget detaljeret og forbruget synliggøres overfor byggepladsens arbejdere på månedsbasis. 
"Vigtigt" svarer til at det dokumenteres, at der etableres en energieffektiv byggeplads og at løbende overvågning af energiforbrug på byggepladsen dokumenteres ved aflevering. "Mindre vigtigt" svarer til, at der ikke fortages særlige energi-effektive tiltag på byggepladsen. </t>
  </si>
  <si>
    <t xml:space="preserve">Der vil ofte være en risiko for, at de byggearbejder, der foregår i anlægsfasen af et byggeri vil påvirke naboer til byggepladsen. Ved løbende at informere naboerne omkring de processer, der kan påvirke dem, og i hvilket tidsrum processerne foregår, vil risikoen for klager reduceres. 
Hvor vigtigt er det, at der stilles krav om at naboerne løbende informeres omkring arbejdet på byggepladsen, og hvordan det kan påvirke dem?
Eksempel: 
"Meget vigtigt" svarer til, at der er omdelt nyhedsbreve med information til naboer.
"Vigtigt" svarer til, at naboer informeres via skilte på byggepladsen. 
"Mindre vigtigt" svarer til, at naboer ikke orienteres. 
NB: hvis byggeriet ikke har naboer indenfor en radius af 2 km bør der vælges "Meget vigtig" og indskrives en kommentar herom i det digitale værktøjs notefelt. </t>
  </si>
  <si>
    <t xml:space="preserve">Det er relevant, at dokumentation af de anvendte materialer og hjælpestoffer indsamles for at sikre, at de krav der er stillet til kvaliteten af byggeriet, overholdes. Desuden sikrer dette, at bygherre let kan identificere produkter, der er anvendt til byggeriet i tilfælde af fremtidige problemer med produkters giftighed eller holdbarhed (f.eks. PCB og MgO plader). 
Hvor vigtigt er det, at der stilles krav om indsamling af sikkerhedsdatablade, tekniske datablade og at ydeevnedeklarationer indsamles for de anvendte materialer og hjælpestoffer?
Eksempel: 
"Meget vigtigt" svarer til, at alle relevante datablade og produktoplysninger samles i en overskuelig bygningshåndbog eller database, der overdrages til bygherre. 
"Vigtigt" svarer til, at datablade og andre relevante produktoplysninger samles i D&amp;V materialet, uden at det er gjort overskueligt for bygherre eller bruger. 
"Mindre vigtigt" svarer til, at dette ikke prioriteres. </t>
  </si>
  <si>
    <t xml:space="preserve">Ved at foretage eftervisende målinger af bygningsakustikken dokumenteres, at kravene til  bygningsakustikken er overholdt. 
Hvor vigtigt er det, at der foretages eftervisende målinger af bygningsakustikken?
Eksempel:
"Meget vigtigt svarer til, at der gennemføres repræsentative, eftervisende målinger for alle relevante områder. 
"Vigtigt" svarer til, at der gennemføres eftervisende målinger for udvalgte områder i bygningen, men ikke alle relevante områder. 
"Mindre vigtigt" svarer til, at der ikke gennemføres eftervisende målinger. </t>
  </si>
  <si>
    <t>Det er relevant at foretage fugtmålinger i udsatte bygningsdele, så indbygning af beskadigede materialer forebygges. Disse fugtmålinger udføres typisk på byggepladsen i forbindelse med udtørring af pladsstøbt beton og indbygget træ, men det er sjældent, at der udarbejdes dokumentation herfor. 
Hvor vigtigt er det, at der udføres målinger af fugtindholdet i udsatte bygningsdele?
Eksempel: 
"Meget vigtigt" svarer til, at dokumentation fra kontrolmålinger af byggematerialers fugtindhold og at der desuden foreligger en plan for forebyggelse af fugt i opbevarede af materialer.
"Vigtigt" svarer til, at der foretages kontrolmålinger af materialernes fugtindhold med meget begrænset dokumentation.
"Mindre vigtig" svarer til, at der ikke udarbejdes dokumentation for kontrolmålinger af materialers fugtindhold.</t>
  </si>
  <si>
    <t>Ordforklaring:
Linjetab er betegnelsen for det ekstra varmetab som opstår i de kuldebroer, der opstår i samlinger mellem konstruktionsdele i klimaskærmen.
Komfort anvendes til at beskrive beboernes oplevelse af om indeklimaet er behageligt. 
Kuldebroer er områder i klimaskærmen, hvor den generelle isoleringsevne for konstruktionen er svækket, fordi det isolerende lag gennembrydes.</t>
  </si>
  <si>
    <t xml:space="preserve">Det er relevant at foretage målinger af bygningens lufttæthed samt undersøge klimaskærmen for kuldebroer. Hermed dokumenteres, at den forventede energibesparelse og komfort der opnås via en høj tæthed og små linjetab, er realiseret i projektet. 
Hvor vigtigt er det, at der foretages målinger af bygningens lufttæthed og termografiske målinger for at undersøge klimaskærmen for utætheder?
Eksempel: 
"Meget vigtigt" svarer til, at 'Blowerdoor' test og termografisk måling kombineres. 
"Vigtigt" svarer til, at der enten gennemføres blowerdoor test eller termografisk måling. 
"Mindre vigtigt" svarer til, at der ikke foretages eftervisning af tæthed eller kuldebroer. </t>
  </si>
  <si>
    <t>Radon er en naturligt forekommende luftart i undergrunden, der vil kunne sive ind i boligen gennem konstruktioner, hvis disse ikke er udført korrekt. En høj koncentration af radon i luften indenfor kan påvirke beboernes sundhed og forårsage kræft. Det er et lovkrav, at bygninger skal udføres med radonsikring. En måling af radonkoncentrationen i luften indenfor, når byggeriet står færdigt, vil vise hvorvidt radonsikringen er udført korrekt, så beboerne ikke udsættes for en unødvendig sundhedsrisiko. 
Hvor vigtigt er det, at der udføres radonmåling i luften indenfor?
Eksempel: 
"Meget vigtigt" svarer til, at der foretages radonmåling når terrændæk, fundamenter og kælderdæk meldes færdige af byggeriet samt i forbindelse med aflevering af byggeriet. 
"Vigtigt" svarer begge til, at der foretages radonmåling når terrændæk, fundamenter og kældervægge meldes færdige. 
"Mindre vigtigt" svarer til, at der ingen radonmåling foretages.</t>
  </si>
  <si>
    <r>
      <t xml:space="preserve">Derudover anvendes desuden de to kategorier teknisk kvalitet og proceskvalitet, som bevæger sig på tværs af de tre bæredygtighedskategorier.
</t>
    </r>
    <r>
      <rPr>
        <u/>
        <sz val="11"/>
        <color theme="1"/>
        <rFont val="Calibri"/>
        <family val="2"/>
        <scheme val="minor"/>
      </rPr>
      <t>Teknisk kvalitet</t>
    </r>
    <r>
      <rPr>
        <sz val="11"/>
        <color theme="1"/>
        <rFont val="Calibri"/>
        <family val="2"/>
        <scheme val="minor"/>
      </rPr>
      <t xml:space="preserve">
Under den tekniske kvalitet betragtes de tekniske løsninger, der vælges for brandsikring, indvendige lydforhold og klimaskærmens kvalitet, men også hvor lette de tekniske løsninger er at vedligeholde og modernisere.
</t>
    </r>
    <r>
      <rPr>
        <u/>
        <sz val="11"/>
        <color theme="1"/>
        <rFont val="Calibri"/>
        <family val="2"/>
        <scheme val="minor"/>
      </rPr>
      <t>Proceskvalitet</t>
    </r>
    <r>
      <rPr>
        <sz val="11"/>
        <color theme="1"/>
        <rFont val="Calibri"/>
        <family val="2"/>
        <scheme val="minor"/>
      </rPr>
      <t xml:space="preserve">
For at sikre et bæredygtigt byggeri, er det vigtigt, at der har været fokus på bæredygtigheden gennem hele processen, lige fra de første idéfaser til dirften af bygningen. Proceskvalitet omhandler derfor blandt andet, hvorvidt der har været skrevet krav til bæredygtighed ind i udbudsmaterialet, om der er fokus på bæredygtighed på byggepladsen, om der foretages kvalitetssikring af byggeriet og om, der har været en god overlevering til brugerne, omkring hvordan bygningen drives optimalt.</t>
    </r>
  </si>
  <si>
    <t>Læs brugervejledningen for uddybende forklaring for anvendelse af værktøjet.</t>
  </si>
  <si>
    <t xml:space="preserve">Dette dialogværktøj er udviklet af Boligkontoret Sct. Jørgen, Viborg, AL2Bolig, acelab, Rambøll, Søren Jensen Rådgivende Ingeniørfirma og PLUSkontoret Arkitekter med støtte fra den Almene forsøgspulje. Formålet med værktøjet er, at gøre dialogen om bæredygtigt byggeri mere tilgængeligt for beboerdemokrater i byggeudvalg og hovedbestyrelser i almene boligorganisationer.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</si>
</sst>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P\."/>
    <numFmt numFmtId="166" formatCode="0.0"/>
  </numFmts>
  <fonts count="68"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sz val="8"/>
      <color theme="1"/>
      <name val="Calibri"/>
      <family val="2"/>
      <scheme val="minor"/>
    </font>
    <font>
      <b/>
      <sz val="8"/>
      <color theme="1"/>
      <name val="Calibri"/>
      <family val="2"/>
      <scheme val="minor"/>
    </font>
    <font>
      <sz val="11"/>
      <color indexed="8"/>
      <name val="Calibri"/>
      <family val="2"/>
    </font>
    <font>
      <b/>
      <sz val="9"/>
      <color indexed="81"/>
      <name val="Tahoma"/>
      <family val="2"/>
    </font>
    <font>
      <sz val="9"/>
      <color indexed="81"/>
      <name val="Tahoma"/>
      <family val="2"/>
    </font>
    <font>
      <b/>
      <sz val="9"/>
      <color theme="0"/>
      <name val="Calibri"/>
      <family val="2"/>
      <scheme val="minor"/>
    </font>
    <font>
      <b/>
      <sz val="9"/>
      <name val="Calibri"/>
      <family val="2"/>
      <scheme val="minor"/>
    </font>
    <font>
      <sz val="9"/>
      <color indexed="62"/>
      <name val="Calibri"/>
      <family val="2"/>
      <scheme val="minor"/>
    </font>
    <font>
      <sz val="9"/>
      <name val="Calibri"/>
      <family val="2"/>
      <scheme val="minor"/>
    </font>
    <font>
      <sz val="11"/>
      <color theme="0" tint="-0.249977111117893"/>
      <name val="Calibri"/>
      <family val="2"/>
      <scheme val="minor"/>
    </font>
    <font>
      <b/>
      <sz val="11"/>
      <color theme="0" tint="-0.34998626667073579"/>
      <name val="Calibri"/>
      <family val="2"/>
      <scheme val="minor"/>
    </font>
    <font>
      <sz val="11"/>
      <color theme="1"/>
      <name val="Calibri"/>
      <family val="2"/>
      <scheme val="minor"/>
    </font>
    <font>
      <i/>
      <sz val="8"/>
      <color theme="1"/>
      <name val="Calibri"/>
      <family val="2"/>
      <scheme val="minor"/>
    </font>
    <font>
      <b/>
      <sz val="9"/>
      <color theme="0" tint="-0.34998626667073579"/>
      <name val="Calibri"/>
      <family val="2"/>
      <scheme val="minor"/>
    </font>
    <font>
      <sz val="9"/>
      <color theme="0" tint="-0.34998626667073579"/>
      <name val="Calibri"/>
      <family val="2"/>
      <scheme val="minor"/>
    </font>
    <font>
      <b/>
      <sz val="11"/>
      <color theme="0" tint="-0.249977111117893"/>
      <name val="Calibri"/>
      <family val="2"/>
      <scheme val="minor"/>
    </font>
    <font>
      <b/>
      <sz val="11"/>
      <color theme="0" tint="-0.499984740745262"/>
      <name val="Calibri"/>
      <family val="2"/>
      <scheme val="minor"/>
    </font>
    <font>
      <sz val="11"/>
      <color theme="0"/>
      <name val="Calibri"/>
      <family val="2"/>
      <scheme val="minor"/>
    </font>
    <font>
      <sz val="9"/>
      <color rgb="FF3F3F76"/>
      <name val="Calibri"/>
      <family val="2"/>
      <scheme val="minor"/>
    </font>
    <font>
      <sz val="11"/>
      <color rgb="FF9C6500"/>
      <name val="Calibri"/>
      <family val="2"/>
      <scheme val="minor"/>
    </font>
    <font>
      <sz val="9"/>
      <color theme="0" tint="-0.499984740745262"/>
      <name val="Calibri"/>
      <family val="2"/>
      <scheme val="minor"/>
    </font>
    <font>
      <sz val="8"/>
      <color rgb="FF9C6500"/>
      <name val="Calibri"/>
      <family val="2"/>
      <scheme val="minor"/>
    </font>
    <font>
      <sz val="9"/>
      <color rgb="FF9C6500"/>
      <name val="Calibri"/>
      <family val="2"/>
      <scheme val="minor"/>
    </font>
    <font>
      <sz val="8"/>
      <color rgb="FF3F3F76"/>
      <name val="Calibri"/>
      <family val="2"/>
      <scheme val="minor"/>
    </font>
    <font>
      <b/>
      <sz val="12"/>
      <color theme="1"/>
      <name val="Calibri"/>
      <family val="2"/>
      <scheme val="minor"/>
    </font>
    <font>
      <b/>
      <sz val="18"/>
      <color theme="1"/>
      <name val="Calibri"/>
      <family val="2"/>
      <scheme val="minor"/>
    </font>
    <font>
      <sz val="9"/>
      <color theme="0" tint="-0.249977111117893"/>
      <name val="Calibri"/>
      <family val="2"/>
      <scheme val="minor"/>
    </font>
    <font>
      <u/>
      <sz val="11"/>
      <color theme="1"/>
      <name val="Calibri"/>
      <family val="2"/>
      <scheme val="minor"/>
    </font>
    <font>
      <sz val="11"/>
      <name val="Calibri"/>
      <family val="2"/>
      <scheme val="minor"/>
    </font>
    <font>
      <sz val="16"/>
      <name val="Calibri"/>
      <family val="2"/>
      <scheme val="minor"/>
    </font>
    <font>
      <sz val="11"/>
      <color theme="0" tint="-0.499984740745262"/>
      <name val="Calibri"/>
      <family val="2"/>
      <scheme val="minor"/>
    </font>
    <font>
      <sz val="10"/>
      <name val="Calibri"/>
      <family val="2"/>
      <scheme val="minor"/>
    </font>
    <font>
      <b/>
      <sz val="10"/>
      <name val="Calibri"/>
      <family val="2"/>
      <scheme val="minor"/>
    </font>
    <font>
      <sz val="10"/>
      <color theme="0" tint="-0.499984740745262"/>
      <name val="Calibri"/>
      <family val="2"/>
      <scheme val="minor"/>
    </font>
    <font>
      <i/>
      <sz val="10"/>
      <color theme="0" tint="-0.499984740745262"/>
      <name val="Calibri"/>
      <family val="2"/>
      <scheme val="minor"/>
    </font>
    <font>
      <sz val="10"/>
      <color theme="0" tint="-0.34998626667073579"/>
      <name val="Calibri"/>
      <family val="2"/>
      <scheme val="minor"/>
    </font>
    <font>
      <b/>
      <sz val="10"/>
      <color theme="0" tint="-0.34998626667073579"/>
      <name val="Calibri"/>
      <family val="2"/>
      <scheme val="minor"/>
    </font>
    <font>
      <b/>
      <sz val="11"/>
      <color rgb="FFFA7D00"/>
      <name val="Calibri"/>
      <family val="2"/>
      <scheme val="minor"/>
    </font>
    <font>
      <b/>
      <sz val="10"/>
      <name val="Arial"/>
      <family val="2"/>
    </font>
    <font>
      <sz val="10"/>
      <name val="Arial"/>
      <family val="2"/>
    </font>
    <font>
      <sz val="10"/>
      <color indexed="8"/>
      <name val="Arial"/>
      <family val="2"/>
    </font>
    <font>
      <b/>
      <sz val="10"/>
      <color indexed="8"/>
      <name val="Arial"/>
      <family val="2"/>
    </font>
    <font>
      <b/>
      <sz val="10"/>
      <color theme="0"/>
      <name val="Arial"/>
      <family val="2"/>
    </font>
    <font>
      <b/>
      <sz val="10"/>
      <color indexed="62"/>
      <name val="Arial"/>
      <family val="2"/>
    </font>
    <font>
      <sz val="10"/>
      <color indexed="62"/>
      <name val="Arial"/>
      <family val="2"/>
    </font>
    <font>
      <sz val="10"/>
      <color indexed="12"/>
      <name val="Arial"/>
      <family val="2"/>
    </font>
    <font>
      <sz val="10"/>
      <color theme="1"/>
      <name val="Arial"/>
      <family val="2"/>
    </font>
    <font>
      <sz val="10"/>
      <color theme="0" tint="-0.14999847407452621"/>
      <name val="Arial"/>
      <family val="2"/>
    </font>
    <font>
      <b/>
      <sz val="10"/>
      <color theme="1"/>
      <name val="Arial"/>
      <family val="2"/>
    </font>
    <font>
      <vertAlign val="subscript"/>
      <sz val="10"/>
      <name val="Arial"/>
      <family val="2"/>
    </font>
    <font>
      <u/>
      <sz val="10"/>
      <name val="Arial"/>
      <family val="2"/>
    </font>
    <font>
      <i/>
      <sz val="10"/>
      <name val="Arial"/>
      <family val="2"/>
    </font>
    <font>
      <b/>
      <sz val="10"/>
      <color indexed="81"/>
      <name val="Arial"/>
      <family val="2"/>
    </font>
    <font>
      <sz val="11"/>
      <color rgb="FFFF0000"/>
      <name val="Calibri"/>
      <family val="2"/>
      <scheme val="minor"/>
    </font>
    <font>
      <i/>
      <sz val="11"/>
      <name val="Calibri"/>
      <family val="2"/>
      <scheme val="minor"/>
    </font>
    <font>
      <i/>
      <sz val="11"/>
      <color theme="1"/>
      <name val="Calibri"/>
      <family val="2"/>
      <scheme val="minor"/>
    </font>
    <font>
      <b/>
      <sz val="11"/>
      <name val="Calibri"/>
      <family val="2"/>
      <scheme val="minor"/>
    </font>
    <font>
      <sz val="11"/>
      <color rgb="FFFFC000"/>
      <name val="Calibri"/>
      <family val="2"/>
      <scheme val="minor"/>
    </font>
    <font>
      <sz val="11"/>
      <color rgb="FF00B050"/>
      <name val="Calibri"/>
      <family val="2"/>
      <scheme val="minor"/>
    </font>
    <font>
      <sz val="11"/>
      <color theme="9"/>
      <name val="Calibri"/>
      <family val="2"/>
      <scheme val="minor"/>
    </font>
    <font>
      <i/>
      <sz val="11"/>
      <color theme="9"/>
      <name val="Calibri"/>
      <family val="2"/>
      <scheme val="minor"/>
    </font>
  </fonts>
  <fills count="30">
    <fill>
      <patternFill patternType="none"/>
    </fill>
    <fill>
      <patternFill patternType="gray125"/>
    </fill>
    <fill>
      <patternFill patternType="solid">
        <fgColor theme="0"/>
        <bgColor indexed="64"/>
      </patternFill>
    </fill>
    <fill>
      <patternFill patternType="gray125">
        <bgColor auto="1"/>
      </patternFill>
    </fill>
    <fill>
      <patternFill patternType="gray125">
        <bgColor theme="0"/>
      </patternFill>
    </fill>
    <fill>
      <patternFill patternType="solid">
        <fgColor theme="1"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rgb="FFFFEB9C"/>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79998168889431442"/>
        <bgColor indexed="65"/>
      </patternFill>
    </fill>
    <fill>
      <patternFill patternType="solid">
        <fgColor rgb="FFF2F2F2"/>
      </patternFill>
    </fill>
    <fill>
      <patternFill patternType="solid">
        <fgColor rgb="FFFFFFCC"/>
      </patternFill>
    </fill>
    <fill>
      <patternFill patternType="solid">
        <fgColor rgb="FFA5D867"/>
        <bgColor indexed="64"/>
      </patternFill>
    </fill>
    <fill>
      <patternFill patternType="solid">
        <fgColor rgb="FFD47600"/>
        <bgColor indexed="64"/>
      </patternFill>
    </fill>
    <fill>
      <patternFill patternType="solid">
        <fgColor rgb="FF004084"/>
        <bgColor indexed="64"/>
      </patternFill>
    </fill>
    <fill>
      <patternFill patternType="solid">
        <fgColor rgb="FF007C9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4"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dashed">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16">
    <xf numFmtId="0" fontId="0" fillId="0" borderId="0"/>
    <xf numFmtId="0" fontId="9" fillId="0" borderId="0"/>
    <xf numFmtId="9" fontId="18" fillId="0" borderId="0" applyFont="0" applyFill="0" applyBorder="0" applyAlignment="0" applyProtection="0"/>
    <xf numFmtId="0" fontId="25" fillId="8" borderId="32" applyNumberFormat="0" applyAlignment="0" applyProtection="0"/>
    <xf numFmtId="0" fontId="24" fillId="9" borderId="0" applyNumberFormat="0" applyBorder="0" applyAlignment="0" applyProtection="0"/>
    <xf numFmtId="0" fontId="18" fillId="10" borderId="0" applyNumberFormat="0" applyBorder="0" applyAlignment="0" applyProtection="0"/>
    <xf numFmtId="0" fontId="26" fillId="11" borderId="0" applyNumberFormat="0" applyBorder="0" applyAlignment="0" applyProtection="0"/>
    <xf numFmtId="0" fontId="18" fillId="12" borderId="0" applyNumberFormat="0" applyBorder="0" applyAlignment="0" applyProtection="0"/>
    <xf numFmtId="0" fontId="24" fillId="13" borderId="0" applyNumberFormat="0" applyBorder="0" applyAlignment="0" applyProtection="0"/>
    <xf numFmtId="0" fontId="18" fillId="14" borderId="0" applyNumberFormat="0" applyBorder="0" applyAlignment="0" applyProtection="0"/>
    <xf numFmtId="0" fontId="24" fillId="15" borderId="0" applyNumberFormat="0" applyBorder="0" applyAlignment="0" applyProtection="0"/>
    <xf numFmtId="0" fontId="18" fillId="16" borderId="0" applyNumberFormat="0" applyBorder="0" applyAlignment="0" applyProtection="0"/>
    <xf numFmtId="0" fontId="24" fillId="17" borderId="0" applyNumberFormat="0" applyBorder="0" applyAlignment="0" applyProtection="0"/>
    <xf numFmtId="0" fontId="18" fillId="18" borderId="0" applyNumberFormat="0" applyBorder="0" applyAlignment="0" applyProtection="0"/>
    <xf numFmtId="0" fontId="44" fillId="19" borderId="32" applyNumberFormat="0" applyAlignment="0" applyProtection="0"/>
    <xf numFmtId="0" fontId="18" fillId="20" borderId="47" applyNumberFormat="0" applyFont="0" applyAlignment="0" applyProtection="0"/>
  </cellStyleXfs>
  <cellXfs count="930">
    <xf numFmtId="0" fontId="0" fillId="0" borderId="0" xfId="0"/>
    <xf numFmtId="0" fontId="2" fillId="0" borderId="0" xfId="0" applyFont="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3" fillId="0" borderId="1" xfId="0" applyFont="1" applyBorder="1" applyAlignment="1">
      <alignment vertical="top" wrapText="1"/>
    </xf>
    <xf numFmtId="0" fontId="3" fillId="0" borderId="0" xfId="0" applyFont="1" applyAlignment="1">
      <alignment horizontal="center"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horizontal="left" vertical="top" wrapText="1"/>
    </xf>
    <xf numFmtId="0" fontId="2" fillId="0" borderId="0" xfId="0" applyFont="1" applyAlignment="1">
      <alignment horizontal="left" vertical="top" wrapText="1"/>
    </xf>
    <xf numFmtId="0" fontId="17" fillId="0" borderId="0" xfId="0" applyFont="1" applyBorder="1"/>
    <xf numFmtId="0" fontId="4" fillId="0" borderId="0" xfId="0" applyFont="1" applyAlignment="1">
      <alignment horizontal="left" vertical="top" wrapText="1"/>
    </xf>
    <xf numFmtId="0" fontId="4" fillId="0" borderId="1" xfId="0" applyFont="1" applyBorder="1" applyAlignment="1">
      <alignment vertical="top" wrapText="1"/>
    </xf>
    <xf numFmtId="0" fontId="7" fillId="0" borderId="0" xfId="0" applyFont="1" applyBorder="1" applyAlignment="1">
      <alignment horizontal="left" vertical="top" wrapText="1"/>
    </xf>
    <xf numFmtId="0" fontId="2" fillId="0" borderId="0" xfId="0" applyFont="1" applyBorder="1" applyAlignment="1">
      <alignment horizontal="left" vertical="top" wrapText="1"/>
    </xf>
    <xf numFmtId="0" fontId="7" fillId="0" borderId="0" xfId="0" applyFont="1" applyBorder="1" applyAlignment="1">
      <alignment vertical="top" wrapText="1"/>
    </xf>
    <xf numFmtId="0" fontId="4" fillId="0" borderId="0" xfId="0" applyFont="1" applyBorder="1" applyAlignment="1">
      <alignment vertical="top" wrapText="1"/>
    </xf>
    <xf numFmtId="0" fontId="2" fillId="0" borderId="0" xfId="0" applyFont="1" applyBorder="1" applyAlignment="1">
      <alignment vertical="top" wrapText="1"/>
    </xf>
    <xf numFmtId="0" fontId="3" fillId="0" borderId="0" xfId="0" applyFont="1" applyBorder="1" applyAlignment="1">
      <alignment vertical="top" wrapText="1"/>
    </xf>
    <xf numFmtId="0" fontId="2" fillId="0" borderId="0" xfId="0" applyFont="1" applyAlignment="1" applyProtection="1">
      <alignment wrapText="1"/>
    </xf>
    <xf numFmtId="0" fontId="3" fillId="0" borderId="13" xfId="0" quotePrefix="1" applyFont="1" applyBorder="1" applyAlignment="1" applyProtection="1">
      <alignment vertical="top" wrapText="1"/>
    </xf>
    <xf numFmtId="0" fontId="20" fillId="0" borderId="13" xfId="0" quotePrefix="1" applyFont="1" applyBorder="1" applyAlignment="1" applyProtection="1">
      <alignment vertical="top" wrapText="1"/>
    </xf>
    <xf numFmtId="0" fontId="3" fillId="0" borderId="7" xfId="0" quotePrefix="1" applyFont="1" applyBorder="1" applyAlignment="1" applyProtection="1">
      <alignment vertical="top" wrapText="1"/>
    </xf>
    <xf numFmtId="0" fontId="2" fillId="0" borderId="1" xfId="0" quotePrefix="1" applyFont="1" applyBorder="1" applyAlignment="1" applyProtection="1">
      <alignment vertical="top" wrapText="1"/>
    </xf>
    <xf numFmtId="0" fontId="21" fillId="0" borderId="1" xfId="0" quotePrefix="1" applyFont="1" applyBorder="1" applyAlignment="1" applyProtection="1">
      <alignment vertical="top" wrapText="1"/>
    </xf>
    <xf numFmtId="0" fontId="2" fillId="0" borderId="2" xfId="0" quotePrefix="1" applyFont="1" applyBorder="1" applyAlignment="1" applyProtection="1">
      <alignment vertical="top" wrapText="1"/>
    </xf>
    <xf numFmtId="0" fontId="2" fillId="0" borderId="0" xfId="0" quotePrefix="1" applyFont="1" applyAlignment="1" applyProtection="1">
      <alignment vertical="top" wrapText="1"/>
    </xf>
    <xf numFmtId="0" fontId="3" fillId="0" borderId="1" xfId="0" quotePrefix="1" applyFont="1" applyBorder="1" applyAlignment="1" applyProtection="1">
      <alignment vertical="top" wrapText="1"/>
    </xf>
    <xf numFmtId="164" fontId="0" fillId="0" borderId="0" xfId="0" applyNumberFormat="1"/>
    <xf numFmtId="0" fontId="2" fillId="0" borderId="1" xfId="0" quotePrefix="1" applyFont="1" applyBorder="1" applyAlignment="1" applyProtection="1">
      <alignment vertical="top" wrapText="1"/>
      <protection locked="0"/>
    </xf>
    <xf numFmtId="0" fontId="0" fillId="0" borderId="0" xfId="0" applyAlignment="1" applyProtection="1">
      <alignment wrapText="1"/>
    </xf>
    <xf numFmtId="0" fontId="2" fillId="0" borderId="1" xfId="0" applyFont="1" applyFill="1" applyBorder="1" applyAlignment="1" applyProtection="1">
      <alignment vertical="top" wrapText="1"/>
    </xf>
    <xf numFmtId="0" fontId="3" fillId="0" borderId="0" xfId="0" applyFont="1" applyAlignment="1" applyProtection="1">
      <alignment wrapText="1"/>
    </xf>
    <xf numFmtId="0" fontId="1" fillId="0" borderId="0" xfId="0" applyFont="1" applyAlignment="1" applyProtection="1">
      <alignment wrapText="1"/>
    </xf>
    <xf numFmtId="0" fontId="0" fillId="0" borderId="0" xfId="0" applyBorder="1"/>
    <xf numFmtId="0" fontId="2" fillId="0" borderId="2" xfId="0" quotePrefix="1" applyFont="1" applyBorder="1" applyAlignment="1" applyProtection="1">
      <alignment vertical="top" wrapText="1"/>
      <protection locked="0"/>
    </xf>
    <xf numFmtId="0" fontId="24" fillId="9" borderId="1" xfId="4" quotePrefix="1" applyBorder="1" applyAlignment="1" applyProtection="1">
      <alignment vertical="top" wrapText="1"/>
    </xf>
    <xf numFmtId="0" fontId="25" fillId="8" borderId="32" xfId="3" quotePrefix="1" applyFont="1" applyAlignment="1" applyProtection="1">
      <alignment vertical="top" wrapText="1"/>
      <protection locked="0"/>
    </xf>
    <xf numFmtId="0" fontId="2" fillId="0" borderId="1" xfId="5" quotePrefix="1" applyFont="1" applyFill="1" applyBorder="1" applyAlignment="1" applyProtection="1">
      <alignment vertical="top" wrapText="1"/>
    </xf>
    <xf numFmtId="0" fontId="24" fillId="9" borderId="1" xfId="4" quotePrefix="1" applyBorder="1" applyAlignment="1" applyProtection="1">
      <alignment vertical="top" wrapText="1"/>
      <protection locked="0"/>
    </xf>
    <xf numFmtId="0" fontId="24" fillId="9" borderId="2" xfId="4" quotePrefix="1" applyBorder="1" applyAlignment="1" applyProtection="1">
      <alignment vertical="top" wrapText="1"/>
      <protection locked="0"/>
    </xf>
    <xf numFmtId="0" fontId="25" fillId="8" borderId="32" xfId="3" quotePrefix="1" applyAlignment="1" applyProtection="1">
      <alignment vertical="top" wrapText="1"/>
      <protection locked="0"/>
    </xf>
    <xf numFmtId="0" fontId="25" fillId="8" borderId="32" xfId="3" applyFont="1" applyAlignment="1" applyProtection="1">
      <alignment horizontal="left" vertical="top" wrapText="1"/>
      <protection locked="0"/>
    </xf>
    <xf numFmtId="0" fontId="2" fillId="2" borderId="1" xfId="5" quotePrefix="1" applyFont="1" applyFill="1" applyBorder="1" applyAlignment="1" applyProtection="1">
      <alignment vertical="top" wrapText="1"/>
    </xf>
    <xf numFmtId="0" fontId="2" fillId="2" borderId="1" xfId="4" quotePrefix="1" applyFont="1" applyFill="1" applyBorder="1" applyAlignment="1" applyProtection="1">
      <alignment vertical="top" wrapText="1"/>
    </xf>
    <xf numFmtId="0" fontId="2" fillId="2" borderId="1" xfId="0" quotePrefix="1" applyFont="1" applyFill="1" applyBorder="1" applyAlignment="1" applyProtection="1">
      <alignment vertical="top" wrapText="1"/>
    </xf>
    <xf numFmtId="0" fontId="21" fillId="2" borderId="1" xfId="0" quotePrefix="1" applyFont="1" applyFill="1" applyBorder="1" applyAlignment="1" applyProtection="1">
      <alignment vertical="top" wrapText="1"/>
    </xf>
    <xf numFmtId="0" fontId="2" fillId="2" borderId="1" xfId="0" quotePrefix="1" applyFont="1" applyFill="1" applyBorder="1" applyAlignment="1" applyProtection="1">
      <alignment vertical="top" wrapText="1"/>
      <protection locked="0"/>
    </xf>
    <xf numFmtId="0" fontId="2" fillId="2" borderId="2" xfId="0" quotePrefix="1" applyFont="1" applyFill="1" applyBorder="1" applyAlignment="1" applyProtection="1">
      <alignment vertical="top" wrapText="1"/>
      <protection locked="0"/>
    </xf>
    <xf numFmtId="0" fontId="24" fillId="13" borderId="0" xfId="8" quotePrefix="1" applyAlignment="1" applyProtection="1">
      <alignment vertical="top" wrapText="1"/>
    </xf>
    <xf numFmtId="0" fontId="24" fillId="13" borderId="1" xfId="8" quotePrefix="1" applyBorder="1" applyAlignment="1" applyProtection="1">
      <alignment vertical="top" wrapText="1"/>
    </xf>
    <xf numFmtId="0" fontId="24" fillId="13" borderId="1" xfId="8" quotePrefix="1" applyBorder="1" applyAlignment="1" applyProtection="1">
      <alignment vertical="top" wrapText="1"/>
      <protection locked="0"/>
    </xf>
    <xf numFmtId="0" fontId="24" fillId="13" borderId="2" xfId="8" quotePrefix="1" applyBorder="1" applyAlignment="1" applyProtection="1">
      <alignment vertical="top" wrapText="1"/>
      <protection locked="0"/>
    </xf>
    <xf numFmtId="0" fontId="24" fillId="13" borderId="2" xfId="8" quotePrefix="1" applyBorder="1" applyAlignment="1" applyProtection="1">
      <alignment vertical="top" wrapText="1"/>
    </xf>
    <xf numFmtId="0" fontId="24" fillId="17" borderId="1" xfId="12" quotePrefix="1" applyBorder="1" applyAlignment="1" applyProtection="1">
      <alignment vertical="top" wrapText="1"/>
      <protection locked="0"/>
    </xf>
    <xf numFmtId="0" fontId="24" fillId="17" borderId="2" xfId="12" quotePrefix="1" applyBorder="1" applyAlignment="1" applyProtection="1">
      <alignment vertical="top" wrapText="1"/>
      <protection locked="0"/>
    </xf>
    <xf numFmtId="0" fontId="24" fillId="17" borderId="0" xfId="12" quotePrefix="1" applyAlignment="1" applyProtection="1">
      <alignment vertical="top" wrapText="1"/>
    </xf>
    <xf numFmtId="0" fontId="24" fillId="17" borderId="1" xfId="12" quotePrefix="1" applyBorder="1" applyAlignment="1" applyProtection="1">
      <alignment vertical="top" wrapText="1"/>
    </xf>
    <xf numFmtId="0" fontId="3" fillId="2" borderId="1" xfId="0" quotePrefix="1" applyFont="1" applyFill="1" applyBorder="1" applyAlignment="1" applyProtection="1">
      <alignment vertical="top" wrapText="1"/>
    </xf>
    <xf numFmtId="0" fontId="3" fillId="2" borderId="1" xfId="0" quotePrefix="1" applyFont="1" applyFill="1" applyBorder="1" applyAlignment="1" applyProtection="1">
      <alignment vertical="top" wrapText="1"/>
      <protection locked="0"/>
    </xf>
    <xf numFmtId="0" fontId="3" fillId="2" borderId="2" xfId="0" quotePrefix="1" applyFont="1" applyFill="1" applyBorder="1" applyAlignment="1" applyProtection="1">
      <alignment vertical="top" wrapText="1"/>
      <protection locked="0"/>
    </xf>
    <xf numFmtId="0" fontId="2" fillId="2" borderId="10" xfId="0" quotePrefix="1" applyFont="1" applyFill="1" applyBorder="1" applyAlignment="1" applyProtection="1">
      <alignment vertical="top" wrapText="1"/>
    </xf>
    <xf numFmtId="0" fontId="24" fillId="15" borderId="0" xfId="10" quotePrefix="1" applyAlignment="1" applyProtection="1">
      <alignment vertical="top" wrapText="1"/>
    </xf>
    <xf numFmtId="0" fontId="24" fillId="15" borderId="1" xfId="10" quotePrefix="1" applyBorder="1" applyAlignment="1" applyProtection="1">
      <alignment vertical="top" wrapText="1"/>
    </xf>
    <xf numFmtId="0" fontId="24" fillId="15" borderId="1" xfId="10" quotePrefix="1" applyBorder="1" applyAlignment="1" applyProtection="1">
      <alignment vertical="top" wrapText="1"/>
      <protection locked="0"/>
    </xf>
    <xf numFmtId="0" fontId="24" fillId="15" borderId="2" xfId="10" quotePrefix="1" applyBorder="1" applyAlignment="1" applyProtection="1">
      <alignment vertical="top" wrapText="1"/>
      <protection locked="0"/>
    </xf>
    <xf numFmtId="0" fontId="24" fillId="9" borderId="0" xfId="4" quotePrefix="1" applyAlignment="1" applyProtection="1">
      <alignment vertical="top" wrapText="1"/>
    </xf>
    <xf numFmtId="0" fontId="3" fillId="2" borderId="13" xfId="0" quotePrefix="1" applyFont="1" applyFill="1" applyBorder="1" applyAlignment="1" applyProtection="1">
      <alignment vertical="top" wrapText="1"/>
    </xf>
    <xf numFmtId="0" fontId="20" fillId="2" borderId="13" xfId="0" quotePrefix="1" applyFont="1" applyFill="1" applyBorder="1" applyAlignment="1" applyProtection="1">
      <alignment vertical="top" wrapText="1"/>
    </xf>
    <xf numFmtId="0" fontId="0" fillId="0" borderId="0" xfId="0"/>
    <xf numFmtId="0" fontId="0" fillId="0" borderId="0" xfId="0"/>
    <xf numFmtId="0" fontId="0" fillId="0" borderId="0" xfId="0" applyFill="1" applyBorder="1"/>
    <xf numFmtId="0" fontId="32" fillId="0" borderId="0" xfId="0" applyFont="1"/>
    <xf numFmtId="0" fontId="0" fillId="0" borderId="37" xfId="0" applyBorder="1"/>
    <xf numFmtId="0" fontId="0" fillId="0" borderId="0" xfId="0"/>
    <xf numFmtId="0" fontId="31" fillId="0" borderId="37" xfId="0" applyFont="1" applyBorder="1"/>
    <xf numFmtId="9" fontId="0" fillId="0" borderId="0" xfId="2" applyFont="1"/>
    <xf numFmtId="0" fontId="15" fillId="8" borderId="1" xfId="3" applyFont="1" applyBorder="1" applyAlignment="1" applyProtection="1">
      <alignment vertical="top" wrapText="1"/>
      <protection locked="0"/>
    </xf>
    <xf numFmtId="0" fontId="15" fillId="8" borderId="33" xfId="3" applyFont="1" applyBorder="1" applyAlignment="1" applyProtection="1">
      <alignment vertical="top" wrapText="1"/>
      <protection locked="0"/>
    </xf>
    <xf numFmtId="0" fontId="15" fillId="8" borderId="2" xfId="3" applyFont="1" applyBorder="1" applyAlignment="1" applyProtection="1">
      <alignment vertical="top" wrapText="1"/>
      <protection locked="0"/>
    </xf>
    <xf numFmtId="0" fontId="31" fillId="0" borderId="0" xfId="0" applyFont="1" applyBorder="1"/>
    <xf numFmtId="0" fontId="5" fillId="0" borderId="0" xfId="0" applyFont="1" applyAlignment="1" applyProtection="1">
      <alignment horizontal="left" wrapText="1"/>
    </xf>
    <xf numFmtId="0" fontId="4" fillId="0" borderId="0" xfId="0" quotePrefix="1" applyFont="1" applyAlignment="1" applyProtection="1">
      <alignment vertical="top" wrapText="1"/>
    </xf>
    <xf numFmtId="0" fontId="4" fillId="0" borderId="0" xfId="0" applyFont="1" applyAlignment="1" applyProtection="1">
      <alignment vertical="top" wrapText="1"/>
    </xf>
    <xf numFmtId="0" fontId="25" fillId="8" borderId="32" xfId="3" applyFont="1" applyAlignment="1" applyProtection="1">
      <alignment vertical="top" wrapText="1"/>
      <protection locked="0"/>
    </xf>
    <xf numFmtId="0" fontId="5" fillId="0" borderId="0" xfId="0" applyFont="1" applyAlignment="1" applyProtection="1">
      <alignment vertical="top"/>
    </xf>
    <xf numFmtId="0" fontId="0" fillId="0" borderId="0" xfId="0" applyProtection="1"/>
    <xf numFmtId="0" fontId="4" fillId="0" borderId="0" xfId="0" applyFont="1" applyAlignment="1" applyProtection="1">
      <alignment vertical="top"/>
    </xf>
    <xf numFmtId="0" fontId="3" fillId="0" borderId="0" xfId="0" applyFont="1" applyAlignment="1" applyProtection="1">
      <alignment vertical="top" wrapText="1"/>
    </xf>
    <xf numFmtId="0" fontId="2" fillId="0" borderId="0" xfId="0" applyFont="1" applyAlignment="1" applyProtection="1">
      <alignment horizontal="left" vertical="top"/>
    </xf>
    <xf numFmtId="0" fontId="19" fillId="0" borderId="0" xfId="0" applyFont="1" applyAlignment="1" applyProtection="1">
      <alignment vertical="top" wrapText="1"/>
    </xf>
    <xf numFmtId="0" fontId="3" fillId="2" borderId="0" xfId="0" applyFont="1" applyFill="1" applyBorder="1" applyAlignment="1" applyProtection="1">
      <alignment horizontal="left" vertical="top" wrapText="1"/>
    </xf>
    <xf numFmtId="0" fontId="30" fillId="2" borderId="0" xfId="3" applyFont="1" applyFill="1" applyBorder="1" applyAlignment="1" applyProtection="1">
      <alignment vertical="top" wrapText="1"/>
    </xf>
    <xf numFmtId="0" fontId="4" fillId="2" borderId="0" xfId="0" applyFont="1" applyFill="1" applyBorder="1" applyAlignment="1" applyProtection="1">
      <alignment vertical="top" wrapText="1"/>
    </xf>
    <xf numFmtId="0" fontId="0" fillId="2" borderId="0" xfId="0" applyFill="1" applyBorder="1" applyProtection="1"/>
    <xf numFmtId="0" fontId="3" fillId="0" borderId="11" xfId="0" applyFont="1" applyBorder="1" applyAlignment="1" applyProtection="1">
      <alignment vertical="top" wrapText="1"/>
    </xf>
    <xf numFmtId="0" fontId="3" fillId="0" borderId="1" xfId="0" applyFont="1" applyBorder="1" applyAlignment="1" applyProtection="1">
      <alignment vertical="top" wrapText="1"/>
    </xf>
    <xf numFmtId="0" fontId="3" fillId="0" borderId="0" xfId="0" applyFont="1" applyBorder="1" applyAlignment="1" applyProtection="1">
      <alignment vertical="top" wrapText="1"/>
    </xf>
    <xf numFmtId="0" fontId="2" fillId="0" borderId="0" xfId="0" applyFont="1" applyBorder="1" applyAlignment="1" applyProtection="1">
      <alignment vertical="top" wrapText="1"/>
    </xf>
    <xf numFmtId="0" fontId="0" fillId="0" borderId="0" xfId="0" applyBorder="1" applyProtection="1"/>
    <xf numFmtId="0" fontId="30" fillId="8" borderId="16" xfId="3" applyFont="1" applyFill="1" applyBorder="1" applyAlignment="1" applyProtection="1">
      <alignment horizontal="left" vertical="top" wrapText="1"/>
      <protection locked="0"/>
    </xf>
    <xf numFmtId="10" fontId="28" fillId="11" borderId="15" xfId="6" applyNumberFormat="1" applyFont="1" applyFill="1" applyBorder="1" applyAlignment="1" applyProtection="1">
      <alignment horizontal="left" vertical="top" wrapText="1"/>
      <protection locked="0"/>
    </xf>
    <xf numFmtId="10" fontId="28" fillId="11" borderId="1" xfId="6" applyNumberFormat="1" applyFont="1" applyFill="1" applyBorder="1" applyAlignment="1" applyProtection="1">
      <alignment horizontal="left" vertical="top" wrapText="1"/>
      <protection locked="0"/>
    </xf>
    <xf numFmtId="0" fontId="2" fillId="0" borderId="0" xfId="0" applyFont="1" applyAlignment="1" applyProtection="1">
      <alignment vertical="top" wrapText="1"/>
    </xf>
    <xf numFmtId="0" fontId="7" fillId="0" borderId="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7" fillId="0" borderId="0" xfId="0" applyFont="1" applyBorder="1" applyAlignment="1" applyProtection="1">
      <alignment vertical="top" wrapText="1"/>
    </xf>
    <xf numFmtId="0" fontId="3" fillId="0" borderId="16" xfId="0" applyFont="1" applyBorder="1" applyAlignment="1" applyProtection="1">
      <alignment horizontal="left" vertical="top" wrapText="1"/>
    </xf>
    <xf numFmtId="0" fontId="8" fillId="0" borderId="16" xfId="0" applyFont="1" applyBorder="1" applyAlignment="1" applyProtection="1">
      <alignment vertical="top" wrapText="1"/>
    </xf>
    <xf numFmtId="0" fontId="3" fillId="0" borderId="16" xfId="0" applyFont="1" applyBorder="1" applyAlignment="1" applyProtection="1">
      <alignment vertical="top" wrapText="1"/>
    </xf>
    <xf numFmtId="0" fontId="3" fillId="0" borderId="15" xfId="0" applyFont="1" applyBorder="1" applyAlignment="1" applyProtection="1">
      <alignment vertical="top" wrapText="1"/>
    </xf>
    <xf numFmtId="0" fontId="7" fillId="2" borderId="16" xfId="5" applyFont="1" applyFill="1" applyBorder="1" applyAlignment="1" applyProtection="1">
      <alignment horizontal="left" vertical="top" wrapText="1"/>
    </xf>
    <xf numFmtId="0" fontId="7" fillId="2" borderId="16" xfId="5" applyFont="1" applyFill="1" applyBorder="1" applyAlignment="1" applyProtection="1">
      <alignment vertical="top" wrapText="1"/>
    </xf>
    <xf numFmtId="10" fontId="7" fillId="2" borderId="16" xfId="5" applyNumberFormat="1" applyFont="1" applyFill="1" applyBorder="1" applyAlignment="1" applyProtection="1">
      <alignment horizontal="left" vertical="top" wrapText="1"/>
    </xf>
    <xf numFmtId="0" fontId="7" fillId="2" borderId="16" xfId="9" applyFont="1" applyFill="1" applyBorder="1" applyAlignment="1" applyProtection="1">
      <alignment horizontal="left" vertical="top" wrapText="1"/>
    </xf>
    <xf numFmtId="0" fontId="7" fillId="2" borderId="16" xfId="9" applyFont="1" applyFill="1" applyBorder="1" applyAlignment="1" applyProtection="1">
      <alignment vertical="top" wrapText="1"/>
    </xf>
    <xf numFmtId="10" fontId="7" fillId="2" borderId="16" xfId="9" applyNumberFormat="1" applyFont="1" applyFill="1" applyBorder="1" applyAlignment="1" applyProtection="1">
      <alignment horizontal="left" vertical="top" wrapText="1"/>
    </xf>
    <xf numFmtId="0" fontId="8" fillId="0" borderId="0" xfId="0" applyFont="1" applyBorder="1" applyAlignment="1" applyProtection="1">
      <alignment vertical="top" wrapText="1"/>
    </xf>
    <xf numFmtId="0" fontId="7" fillId="2" borderId="16" xfId="7" applyFont="1" applyFill="1" applyBorder="1" applyAlignment="1" applyProtection="1">
      <alignment horizontal="left" vertical="top" wrapText="1"/>
    </xf>
    <xf numFmtId="0" fontId="7" fillId="2" borderId="16" xfId="7" applyFont="1" applyFill="1" applyBorder="1" applyAlignment="1" applyProtection="1">
      <alignment vertical="top" wrapText="1"/>
    </xf>
    <xf numFmtId="10" fontId="7" fillId="2" borderId="16" xfId="7" applyNumberFormat="1" applyFont="1" applyFill="1" applyBorder="1" applyAlignment="1" applyProtection="1">
      <alignment horizontal="left" vertical="top" wrapText="1"/>
    </xf>
    <xf numFmtId="0" fontId="7" fillId="2" borderId="16" xfId="13" applyFont="1" applyFill="1" applyBorder="1" applyAlignment="1" applyProtection="1">
      <alignment horizontal="left" vertical="top" wrapText="1"/>
    </xf>
    <xf numFmtId="0" fontId="7" fillId="2" borderId="16" xfId="13" applyFont="1" applyFill="1" applyBorder="1" applyAlignment="1" applyProtection="1">
      <alignment vertical="top" wrapText="1"/>
    </xf>
    <xf numFmtId="10" fontId="7" fillId="2" borderId="16" xfId="13" applyNumberFormat="1" applyFont="1" applyFill="1" applyBorder="1" applyAlignment="1" applyProtection="1">
      <alignment horizontal="left" vertical="top" wrapText="1"/>
    </xf>
    <xf numFmtId="0" fontId="7" fillId="2" borderId="16" xfId="11" applyFont="1" applyFill="1" applyBorder="1" applyAlignment="1" applyProtection="1">
      <alignment horizontal="left" vertical="top" wrapText="1"/>
    </xf>
    <xf numFmtId="0" fontId="7" fillId="2" borderId="16" xfId="11" applyFont="1" applyFill="1" applyBorder="1" applyAlignment="1" applyProtection="1">
      <alignment vertical="top" wrapText="1"/>
    </xf>
    <xf numFmtId="10" fontId="7" fillId="2" borderId="16" xfId="11" applyNumberFormat="1" applyFont="1" applyFill="1" applyBorder="1" applyAlignment="1" applyProtection="1">
      <alignment horizontal="left" vertical="top" wrapText="1"/>
    </xf>
    <xf numFmtId="0" fontId="7" fillId="2" borderId="2" xfId="11" applyFont="1" applyFill="1" applyBorder="1" applyAlignment="1" applyProtection="1">
      <alignment horizontal="left" vertical="top" wrapText="1"/>
    </xf>
    <xf numFmtId="0" fontId="7" fillId="2" borderId="2" xfId="11" applyFont="1" applyFill="1" applyBorder="1" applyAlignment="1" applyProtection="1">
      <alignment vertical="top" wrapText="1"/>
    </xf>
    <xf numFmtId="10" fontId="7" fillId="2" borderId="2" xfId="11" applyNumberFormat="1" applyFont="1" applyFill="1" applyBorder="1" applyAlignment="1" applyProtection="1">
      <alignment horizontal="left" vertical="top" wrapText="1"/>
    </xf>
    <xf numFmtId="0" fontId="4" fillId="0" borderId="0" xfId="0" applyFont="1" applyBorder="1" applyAlignment="1" applyProtection="1">
      <alignment vertical="top" wrapText="1"/>
    </xf>
    <xf numFmtId="10" fontId="4" fillId="0" borderId="0" xfId="0" applyNumberFormat="1" applyFont="1" applyAlignment="1" applyProtection="1">
      <alignment vertical="top" wrapText="1"/>
    </xf>
    <xf numFmtId="0" fontId="5" fillId="0" borderId="0" xfId="0" applyFont="1" applyAlignment="1" applyProtection="1">
      <alignment vertical="top" wrapText="1"/>
    </xf>
    <xf numFmtId="0" fontId="3" fillId="0" borderId="13" xfId="0" quotePrefix="1" applyFont="1" applyBorder="1" applyAlignment="1" applyProtection="1">
      <alignment vertical="top" wrapText="1"/>
      <protection locked="0"/>
    </xf>
    <xf numFmtId="0" fontId="0" fillId="2" borderId="1" xfId="0" quotePrefix="1" applyFill="1" applyBorder="1" applyProtection="1"/>
    <xf numFmtId="0" fontId="2" fillId="2" borderId="0" xfId="0" applyFont="1" applyFill="1" applyAlignment="1" applyProtection="1">
      <alignment wrapText="1"/>
    </xf>
    <xf numFmtId="0" fontId="2" fillId="2" borderId="1" xfId="0" applyFont="1" applyFill="1" applyBorder="1" applyAlignment="1" applyProtection="1">
      <alignment vertical="top" wrapText="1"/>
    </xf>
    <xf numFmtId="0" fontId="3" fillId="2" borderId="13" xfId="0" quotePrefix="1" applyFont="1" applyFill="1" applyBorder="1" applyAlignment="1" applyProtection="1">
      <alignment vertical="top" wrapText="1"/>
      <protection locked="0"/>
    </xf>
    <xf numFmtId="0" fontId="2" fillId="0" borderId="0" xfId="0" quotePrefix="1" applyFont="1" applyAlignment="1" applyProtection="1">
      <alignment vertical="top"/>
    </xf>
    <xf numFmtId="0" fontId="2" fillId="2" borderId="0" xfId="0" quotePrefix="1" applyFont="1" applyFill="1" applyAlignment="1" applyProtection="1">
      <alignment vertical="top"/>
    </xf>
    <xf numFmtId="0" fontId="3" fillId="0" borderId="0" xfId="0" quotePrefix="1" applyFont="1" applyBorder="1" applyAlignment="1" applyProtection="1">
      <alignment vertical="top" wrapText="1"/>
    </xf>
    <xf numFmtId="0" fontId="3" fillId="6" borderId="0" xfId="0" quotePrefix="1" applyFont="1" applyFill="1" applyAlignment="1" applyProtection="1">
      <alignment vertical="top" wrapText="1"/>
    </xf>
    <xf numFmtId="0" fontId="20" fillId="6" borderId="0" xfId="0" quotePrefix="1" applyFont="1" applyFill="1" applyAlignment="1" applyProtection="1">
      <alignment vertical="top" wrapText="1"/>
    </xf>
    <xf numFmtId="0" fontId="3" fillId="6" borderId="1" xfId="0" quotePrefix="1" applyFont="1" applyFill="1" applyBorder="1" applyAlignment="1" applyProtection="1">
      <alignment vertical="top" wrapText="1"/>
    </xf>
    <xf numFmtId="0" fontId="3" fillId="6" borderId="2" xfId="0" quotePrefix="1" applyFont="1" applyFill="1" applyBorder="1" applyAlignment="1" applyProtection="1">
      <alignment vertical="top" wrapText="1"/>
    </xf>
    <xf numFmtId="0" fontId="2" fillId="6" borderId="1" xfId="0" quotePrefix="1" applyFont="1" applyFill="1" applyBorder="1" applyAlignment="1" applyProtection="1">
      <alignment vertical="top" wrapText="1"/>
    </xf>
    <xf numFmtId="0" fontId="21" fillId="6" borderId="1" xfId="0" quotePrefix="1" applyFont="1" applyFill="1" applyBorder="1" applyAlignment="1" applyProtection="1">
      <alignment vertical="top" wrapText="1"/>
    </xf>
    <xf numFmtId="0" fontId="2" fillId="6" borderId="2" xfId="0" quotePrefix="1" applyFont="1" applyFill="1" applyBorder="1" applyAlignment="1" applyProtection="1">
      <alignment vertical="top" wrapText="1"/>
    </xf>
    <xf numFmtId="0" fontId="2" fillId="2" borderId="0" xfId="0" quotePrefix="1" applyFont="1" applyFill="1" applyAlignment="1" applyProtection="1">
      <alignment horizontal="left" vertical="top"/>
    </xf>
    <xf numFmtId="0" fontId="1" fillId="0" borderId="25" xfId="0" applyFont="1" applyBorder="1" applyProtection="1"/>
    <xf numFmtId="0" fontId="1" fillId="0" borderId="26" xfId="0" applyFont="1" applyBorder="1" applyProtection="1"/>
    <xf numFmtId="10" fontId="1" fillId="0" borderId="26" xfId="0" applyNumberFormat="1" applyFont="1" applyBorder="1" applyProtection="1"/>
    <xf numFmtId="0" fontId="0" fillId="0" borderId="26" xfId="0" applyFont="1" applyBorder="1" applyProtection="1"/>
    <xf numFmtId="0" fontId="0" fillId="0" borderId="27" xfId="0" applyFont="1" applyBorder="1" applyProtection="1"/>
    <xf numFmtId="0" fontId="17" fillId="0" borderId="0" xfId="0" applyFont="1" applyBorder="1" applyProtection="1"/>
    <xf numFmtId="0" fontId="1" fillId="0" borderId="30" xfId="0" applyFont="1" applyBorder="1" applyProtection="1"/>
    <xf numFmtId="0" fontId="1" fillId="0" borderId="31" xfId="0" applyFont="1" applyBorder="1" applyProtection="1"/>
    <xf numFmtId="164" fontId="1" fillId="0" borderId="31" xfId="2" applyNumberFormat="1" applyFont="1" applyBorder="1" applyProtection="1"/>
    <xf numFmtId="164" fontId="1" fillId="0" borderId="36" xfId="2" applyNumberFormat="1" applyFont="1" applyBorder="1" applyProtection="1"/>
    <xf numFmtId="10" fontId="1" fillId="0" borderId="31" xfId="0" applyNumberFormat="1" applyFont="1" applyBorder="1" applyProtection="1"/>
    <xf numFmtId="164" fontId="0" fillId="0" borderId="0" xfId="0" applyNumberFormat="1" applyProtection="1"/>
    <xf numFmtId="0" fontId="23" fillId="0" borderId="28" xfId="0" applyFont="1" applyBorder="1" applyProtection="1"/>
    <xf numFmtId="0" fontId="23" fillId="0" borderId="13" xfId="0" applyFont="1" applyBorder="1" applyProtection="1"/>
    <xf numFmtId="164" fontId="23" fillId="0" borderId="13" xfId="2" applyNumberFormat="1" applyFont="1" applyBorder="1" applyProtection="1"/>
    <xf numFmtId="164" fontId="23" fillId="0" borderId="29" xfId="2" applyNumberFormat="1" applyFont="1" applyBorder="1" applyProtection="1"/>
    <xf numFmtId="0" fontId="17" fillId="0" borderId="21" xfId="0" applyFont="1" applyBorder="1" applyProtection="1"/>
    <xf numFmtId="0" fontId="22" fillId="0" borderId="1" xfId="0" applyFont="1" applyBorder="1" applyProtection="1"/>
    <xf numFmtId="164" fontId="22" fillId="0" borderId="1" xfId="2" applyNumberFormat="1" applyFont="1" applyBorder="1" applyProtection="1"/>
    <xf numFmtId="164" fontId="22" fillId="0" borderId="1" xfId="0" applyNumberFormat="1" applyFont="1" applyBorder="1" applyProtection="1"/>
    <xf numFmtId="164" fontId="22" fillId="0" borderId="22" xfId="2" applyNumberFormat="1" applyFont="1" applyBorder="1" applyProtection="1"/>
    <xf numFmtId="10" fontId="22" fillId="0" borderId="1" xfId="0" applyNumberFormat="1" applyFont="1" applyBorder="1" applyProtection="1"/>
    <xf numFmtId="0" fontId="17" fillId="0" borderId="1" xfId="0" applyFont="1" applyBorder="1" applyProtection="1"/>
    <xf numFmtId="164" fontId="17" fillId="0" borderId="1" xfId="2" applyNumberFormat="1" applyFont="1" applyBorder="1" applyProtection="1"/>
    <xf numFmtId="10" fontId="17" fillId="0" borderId="1" xfId="0" applyNumberFormat="1" applyFont="1" applyBorder="1" applyProtection="1"/>
    <xf numFmtId="0" fontId="23" fillId="0" borderId="21" xfId="0" applyFont="1" applyBorder="1" applyProtection="1"/>
    <xf numFmtId="0" fontId="23" fillId="0" borderId="1" xfId="0" applyFont="1" applyBorder="1" applyProtection="1"/>
    <xf numFmtId="164" fontId="23" fillId="0" borderId="1" xfId="2" applyNumberFormat="1" applyFont="1" applyBorder="1" applyProtection="1"/>
    <xf numFmtId="164" fontId="23" fillId="0" borderId="22" xfId="2" applyNumberFormat="1" applyFont="1" applyBorder="1" applyProtection="1"/>
    <xf numFmtId="0" fontId="16" fillId="0" borderId="21" xfId="0" applyFont="1" applyBorder="1" applyProtection="1"/>
    <xf numFmtId="0" fontId="22" fillId="0" borderId="21" xfId="0" applyFont="1" applyBorder="1" applyProtection="1"/>
    <xf numFmtId="0" fontId="22" fillId="0" borderId="38" xfId="0" applyFont="1" applyBorder="1" applyProtection="1"/>
    <xf numFmtId="0" fontId="22" fillId="0" borderId="8" xfId="0" applyFont="1" applyBorder="1" applyProtection="1"/>
    <xf numFmtId="164" fontId="22" fillId="0" borderId="8" xfId="2" applyNumberFormat="1" applyFont="1" applyBorder="1" applyProtection="1"/>
    <xf numFmtId="164" fontId="22" fillId="0" borderId="8" xfId="0" applyNumberFormat="1" applyFont="1" applyBorder="1" applyProtection="1"/>
    <xf numFmtId="164" fontId="22" fillId="0" borderId="24" xfId="2" applyNumberFormat="1" applyFont="1" applyBorder="1" applyProtection="1"/>
    <xf numFmtId="10" fontId="22" fillId="0" borderId="8" xfId="0" applyNumberFormat="1" applyFont="1" applyBorder="1" applyProtection="1"/>
    <xf numFmtId="0" fontId="0" fillId="0" borderId="37" xfId="0" applyBorder="1" applyProtection="1"/>
    <xf numFmtId="0" fontId="22" fillId="0" borderId="23" xfId="0" applyFont="1" applyBorder="1" applyProtection="1"/>
    <xf numFmtId="0" fontId="22" fillId="0" borderId="1" xfId="0" applyNumberFormat="1" applyFont="1" applyBorder="1" applyProtection="1"/>
    <xf numFmtId="10" fontId="22" fillId="0" borderId="1" xfId="2" applyNumberFormat="1" applyFont="1" applyBorder="1" applyProtection="1"/>
    <xf numFmtId="0" fontId="1" fillId="0" borderId="21" xfId="0" applyFont="1" applyBorder="1" applyProtection="1"/>
    <xf numFmtId="0" fontId="1" fillId="0" borderId="1" xfId="0" applyFont="1" applyBorder="1" applyProtection="1"/>
    <xf numFmtId="164" fontId="1" fillId="0" borderId="1" xfId="2" applyNumberFormat="1" applyFont="1" applyBorder="1" applyProtection="1"/>
    <xf numFmtId="164" fontId="1" fillId="0" borderId="22" xfId="2" applyNumberFormat="1" applyFont="1" applyBorder="1" applyProtection="1"/>
    <xf numFmtId="10" fontId="1" fillId="0" borderId="1" xfId="0" applyNumberFormat="1" applyFont="1" applyBorder="1" applyProtection="1"/>
    <xf numFmtId="164" fontId="1" fillId="0" borderId="26" xfId="2" applyNumberFormat="1" applyFont="1" applyBorder="1" applyProtection="1"/>
    <xf numFmtId="0" fontId="23" fillId="0" borderId="18" xfId="0" applyFont="1" applyBorder="1" applyProtection="1"/>
    <xf numFmtId="0" fontId="1" fillId="0" borderId="19" xfId="0" applyFont="1" applyBorder="1" applyProtection="1"/>
    <xf numFmtId="164" fontId="23" fillId="0" borderId="19" xfId="2" applyNumberFormat="1" applyFont="1" applyBorder="1" applyProtection="1"/>
    <xf numFmtId="164" fontId="23" fillId="0" borderId="20" xfId="2" applyNumberFormat="1" applyFont="1" applyBorder="1" applyProtection="1"/>
    <xf numFmtId="0" fontId="16" fillId="0" borderId="23" xfId="0" applyFont="1" applyBorder="1" applyProtection="1"/>
    <xf numFmtId="164" fontId="17" fillId="0" borderId="0" xfId="2" applyNumberFormat="1" applyFont="1" applyBorder="1" applyProtection="1"/>
    <xf numFmtId="164" fontId="17" fillId="0" borderId="0" xfId="0" applyNumberFormat="1" applyFont="1" applyBorder="1" applyProtection="1"/>
    <xf numFmtId="10" fontId="17" fillId="0" borderId="35" xfId="0" applyNumberFormat="1" applyFont="1" applyBorder="1" applyProtection="1"/>
    <xf numFmtId="10" fontId="17" fillId="0" borderId="12" xfId="0" applyNumberFormat="1" applyFont="1" applyBorder="1" applyProtection="1"/>
    <xf numFmtId="10" fontId="17" fillId="0" borderId="10" xfId="0" applyNumberFormat="1" applyFont="1" applyBorder="1" applyProtection="1"/>
    <xf numFmtId="0" fontId="0" fillId="0" borderId="0" xfId="0" applyFill="1" applyBorder="1" applyProtection="1"/>
    <xf numFmtId="9" fontId="0" fillId="0" borderId="0" xfId="2" applyFont="1" applyProtection="1"/>
    <xf numFmtId="10" fontId="22" fillId="0" borderId="22" xfId="0" applyNumberFormat="1" applyFont="1" applyBorder="1" applyProtection="1"/>
    <xf numFmtId="0" fontId="1" fillId="0" borderId="1" xfId="0" applyFont="1" applyBorder="1" applyAlignment="1" applyProtection="1">
      <alignment vertical="top" wrapText="1"/>
    </xf>
    <xf numFmtId="10" fontId="1" fillId="0" borderId="1" xfId="2" applyNumberFormat="1" applyFont="1" applyBorder="1" applyAlignment="1" applyProtection="1">
      <alignment vertical="top" wrapText="1"/>
    </xf>
    <xf numFmtId="0" fontId="1" fillId="0" borderId="1" xfId="0" applyFont="1" applyBorder="1" applyAlignment="1" applyProtection="1">
      <alignment horizontal="center" vertical="top" wrapText="1"/>
    </xf>
    <xf numFmtId="0" fontId="1" fillId="0" borderId="0" xfId="0" applyFont="1" applyAlignment="1" applyProtection="1">
      <alignment vertical="top" wrapText="1"/>
    </xf>
    <xf numFmtId="10" fontId="0" fillId="0" borderId="1" xfId="2" applyNumberFormat="1" applyFont="1" applyBorder="1" applyAlignment="1" applyProtection="1">
      <alignment vertical="top" wrapText="1"/>
    </xf>
    <xf numFmtId="10" fontId="0" fillId="0" borderId="0" xfId="2" applyNumberFormat="1" applyFont="1" applyAlignment="1" applyProtection="1">
      <alignment vertical="top" wrapText="1"/>
    </xf>
    <xf numFmtId="0" fontId="0" fillId="0" borderId="1" xfId="2" applyNumberFormat="1" applyFont="1" applyBorder="1" applyAlignment="1" applyProtection="1">
      <alignment vertical="top" wrapText="1"/>
    </xf>
    <xf numFmtId="1" fontId="0" fillId="0" borderId="1" xfId="2" applyNumberFormat="1" applyFont="1" applyBorder="1" applyAlignment="1" applyProtection="1">
      <alignment vertical="top" wrapText="1"/>
    </xf>
    <xf numFmtId="0" fontId="35" fillId="0" borderId="0" xfId="0" applyFont="1" applyFill="1" applyBorder="1" applyAlignment="1" applyProtection="1">
      <alignment wrapText="1"/>
    </xf>
    <xf numFmtId="0" fontId="0" fillId="0" borderId="0" xfId="2" applyNumberFormat="1" applyFont="1" applyAlignment="1" applyProtection="1">
      <alignment vertical="top" wrapText="1"/>
    </xf>
    <xf numFmtId="1" fontId="0" fillId="0" borderId="0" xfId="2" applyNumberFormat="1" applyFont="1" applyAlignment="1" applyProtection="1">
      <alignment vertical="top" wrapText="1"/>
    </xf>
    <xf numFmtId="0" fontId="2" fillId="0" borderId="15" xfId="0" applyFont="1" applyBorder="1" applyAlignment="1" applyProtection="1">
      <alignment vertical="top" wrapText="1"/>
    </xf>
    <xf numFmtId="0" fontId="2" fillId="0" borderId="15" xfId="0" applyFont="1" applyFill="1" applyBorder="1" applyAlignment="1" applyProtection="1">
      <alignment vertical="top" wrapText="1"/>
    </xf>
    <xf numFmtId="0" fontId="0" fillId="0" borderId="40" xfId="0" applyBorder="1" applyAlignment="1" applyProtection="1">
      <alignment wrapText="1"/>
    </xf>
    <xf numFmtId="0" fontId="1" fillId="0" borderId="40" xfId="0" applyFont="1" applyBorder="1" applyAlignment="1" applyProtection="1">
      <alignment wrapText="1"/>
    </xf>
    <xf numFmtId="0" fontId="35" fillId="0" borderId="40" xfId="0" applyFont="1" applyFill="1" applyBorder="1" applyAlignment="1" applyProtection="1">
      <alignment wrapText="1"/>
    </xf>
    <xf numFmtId="0" fontId="36" fillId="0" borderId="40" xfId="0" applyFont="1" applyFill="1" applyBorder="1" applyAlignment="1" applyProtection="1">
      <alignment wrapText="1"/>
    </xf>
    <xf numFmtId="0" fontId="36" fillId="0" borderId="0" xfId="0" applyFont="1" applyFill="1" applyBorder="1" applyAlignment="1" applyProtection="1">
      <alignment wrapText="1"/>
    </xf>
    <xf numFmtId="0" fontId="25" fillId="8" borderId="33" xfId="3" applyFont="1" applyBorder="1" applyAlignment="1" applyProtection="1">
      <alignment vertical="top" wrapText="1"/>
      <protection locked="0"/>
    </xf>
    <xf numFmtId="0" fontId="37" fillId="0" borderId="14" xfId="0" applyFont="1" applyFill="1" applyBorder="1" applyAlignment="1" applyProtection="1">
      <alignment horizontal="center" vertical="center" wrapText="1"/>
    </xf>
    <xf numFmtId="0" fontId="37" fillId="0" borderId="17"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3" fillId="0" borderId="0" xfId="0" applyFont="1" applyFill="1" applyBorder="1" applyAlignment="1" applyProtection="1">
      <alignment wrapText="1"/>
    </xf>
    <xf numFmtId="0" fontId="2" fillId="0" borderId="2" xfId="0" applyFont="1" applyBorder="1" applyAlignment="1" applyProtection="1">
      <alignment vertical="top"/>
    </xf>
    <xf numFmtId="0" fontId="0" fillId="0" borderId="44" xfId="0" applyBorder="1" applyProtection="1"/>
    <xf numFmtId="0" fontId="37" fillId="0" borderId="4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8" fillId="0" borderId="15" xfId="0" applyFont="1" applyFill="1" applyBorder="1" applyAlignment="1" applyProtection="1">
      <alignment horizontal="left" vertical="top" wrapText="1"/>
    </xf>
    <xf numFmtId="0" fontId="38" fillId="0" borderId="41" xfId="4" applyFont="1" applyFill="1" applyBorder="1" applyAlignment="1" applyProtection="1">
      <alignment horizontal="left" vertical="top" wrapText="1"/>
    </xf>
    <xf numFmtId="0" fontId="40" fillId="0" borderId="41" xfId="4" applyFont="1" applyFill="1" applyBorder="1" applyAlignment="1" applyProtection="1">
      <alignment horizontal="center" vertical="center" wrapText="1"/>
    </xf>
    <xf numFmtId="0" fontId="38" fillId="0" borderId="42" xfId="4" applyFont="1" applyFill="1" applyBorder="1" applyAlignment="1" applyProtection="1">
      <alignment horizontal="left" vertical="top" wrapText="1"/>
    </xf>
    <xf numFmtId="0" fontId="40" fillId="0" borderId="42" xfId="4" applyFont="1" applyFill="1" applyBorder="1" applyAlignment="1" applyProtection="1">
      <alignment horizontal="center" vertical="center" wrapText="1"/>
    </xf>
    <xf numFmtId="0" fontId="38" fillId="0" borderId="43" xfId="4" applyFont="1" applyFill="1" applyBorder="1" applyAlignment="1" applyProtection="1">
      <alignment horizontal="left" vertical="top" wrapText="1"/>
    </xf>
    <xf numFmtId="0" fontId="40" fillId="0" borderId="43" xfId="4" applyFont="1" applyFill="1" applyBorder="1" applyAlignment="1" applyProtection="1">
      <alignment horizontal="center" vertical="center" wrapText="1"/>
    </xf>
    <xf numFmtId="0" fontId="40" fillId="0" borderId="41" xfId="5" quotePrefix="1" applyFont="1" applyFill="1" applyBorder="1" applyAlignment="1" applyProtection="1">
      <alignment horizontal="center" vertical="center" wrapText="1"/>
    </xf>
    <xf numFmtId="0" fontId="40" fillId="0" borderId="42" xfId="5" quotePrefix="1" applyFont="1" applyFill="1" applyBorder="1" applyAlignment="1" applyProtection="1">
      <alignment horizontal="center" vertical="center" wrapText="1"/>
    </xf>
    <xf numFmtId="0" fontId="40" fillId="0" borderId="43" xfId="5" quotePrefix="1" applyFont="1" applyFill="1" applyBorder="1" applyAlignment="1" applyProtection="1">
      <alignment horizontal="center" vertical="center" wrapText="1"/>
    </xf>
    <xf numFmtId="0" fontId="40" fillId="0" borderId="41" xfId="0" quotePrefix="1" applyFont="1" applyFill="1" applyBorder="1" applyAlignment="1" applyProtection="1">
      <alignment horizontal="center" vertical="center" wrapText="1"/>
    </xf>
    <xf numFmtId="0" fontId="40" fillId="0" borderId="42" xfId="0" quotePrefix="1" applyFont="1" applyFill="1" applyBorder="1" applyAlignment="1" applyProtection="1">
      <alignment horizontal="center" vertical="center" wrapText="1"/>
    </xf>
    <xf numFmtId="0" fontId="40" fillId="0" borderId="43" xfId="0" quotePrefix="1" applyFont="1" applyFill="1" applyBorder="1" applyAlignment="1" applyProtection="1">
      <alignment horizontal="center" vertical="center" wrapText="1"/>
    </xf>
    <xf numFmtId="0" fontId="40" fillId="0" borderId="41" xfId="0" applyFont="1" applyFill="1" applyBorder="1" applyAlignment="1" applyProtection="1">
      <alignment horizontal="center" vertical="center" wrapText="1"/>
    </xf>
    <xf numFmtId="0" fontId="40" fillId="0" borderId="42" xfId="0" applyFont="1" applyFill="1" applyBorder="1" applyAlignment="1" applyProtection="1">
      <alignment horizontal="center" vertical="center" wrapText="1"/>
    </xf>
    <xf numFmtId="0" fontId="40" fillId="0" borderId="43" xfId="0" applyFont="1" applyFill="1" applyBorder="1" applyAlignment="1" applyProtection="1">
      <alignment horizontal="center" vertical="center" wrapText="1"/>
    </xf>
    <xf numFmtId="0" fontId="40" fillId="0" borderId="15" xfId="4" applyFont="1" applyFill="1" applyBorder="1" applyAlignment="1" applyProtection="1">
      <alignment horizontal="center" vertical="center" wrapText="1"/>
    </xf>
    <xf numFmtId="0" fontId="40" fillId="0" borderId="45" xfId="4" applyFont="1" applyFill="1" applyBorder="1" applyAlignment="1" applyProtection="1">
      <alignment horizontal="center" vertical="center" wrapText="1"/>
    </xf>
    <xf numFmtId="0" fontId="40" fillId="0" borderId="15" xfId="5" quotePrefix="1" applyFont="1" applyFill="1" applyBorder="1" applyAlignment="1" applyProtection="1">
      <alignment horizontal="center" vertical="center" wrapText="1"/>
    </xf>
    <xf numFmtId="0" fontId="40" fillId="0" borderId="45" xfId="5" quotePrefix="1" applyFont="1" applyFill="1" applyBorder="1" applyAlignment="1" applyProtection="1">
      <alignment horizontal="center" vertical="center" wrapText="1"/>
    </xf>
    <xf numFmtId="0" fontId="40" fillId="0" borderId="15" xfId="0" quotePrefix="1" applyFont="1" applyFill="1" applyBorder="1" applyAlignment="1" applyProtection="1">
      <alignment horizontal="center" vertical="center" wrapText="1"/>
    </xf>
    <xf numFmtId="0" fontId="40" fillId="0" borderId="45" xfId="0" quotePrefix="1"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0" fontId="40" fillId="0" borderId="45" xfId="0" applyFont="1" applyFill="1" applyBorder="1" applyAlignment="1" applyProtection="1">
      <alignment horizontal="center" vertical="center" wrapText="1"/>
    </xf>
    <xf numFmtId="0" fontId="40" fillId="0" borderId="13" xfId="0" applyFont="1" applyFill="1" applyBorder="1" applyAlignment="1" applyProtection="1">
      <alignment horizontal="center" vertical="center" wrapText="1"/>
    </xf>
    <xf numFmtId="0" fontId="24" fillId="13" borderId="0" xfId="8" applyAlignment="1" applyProtection="1">
      <alignment horizontal="left" vertical="top" wrapText="1"/>
    </xf>
    <xf numFmtId="0" fontId="24" fillId="13" borderId="0" xfId="8" applyAlignment="1" applyProtection="1">
      <alignment wrapText="1"/>
    </xf>
    <xf numFmtId="0" fontId="24" fillId="13" borderId="11" xfId="8" quotePrefix="1" applyBorder="1" applyAlignment="1" applyProtection="1">
      <alignment vertical="top" wrapText="1"/>
    </xf>
    <xf numFmtId="0" fontId="24" fillId="13" borderId="11" xfId="8" applyBorder="1" applyAlignment="1" applyProtection="1">
      <alignment horizontal="left" vertical="top" wrapText="1"/>
    </xf>
    <xf numFmtId="0" fontId="24" fillId="13" borderId="11" xfId="8" applyBorder="1" applyAlignment="1" applyProtection="1">
      <alignment wrapText="1"/>
    </xf>
    <xf numFmtId="0" fontId="24" fillId="13" borderId="10" xfId="8" applyBorder="1" applyAlignment="1" applyProtection="1">
      <alignment wrapText="1"/>
    </xf>
    <xf numFmtId="0" fontId="24" fillId="13" borderId="1" xfId="8" quotePrefix="1" applyBorder="1" applyAlignment="1" applyProtection="1">
      <alignment horizontal="left" vertical="top" wrapText="1"/>
    </xf>
    <xf numFmtId="0" fontId="24" fillId="15" borderId="0" xfId="10" quotePrefix="1" applyAlignment="1" applyProtection="1">
      <alignment vertical="top"/>
    </xf>
    <xf numFmtId="0" fontId="24" fillId="9" borderId="0" xfId="4" quotePrefix="1" applyAlignment="1" applyProtection="1">
      <alignment vertical="top"/>
    </xf>
    <xf numFmtId="0" fontId="24" fillId="13" borderId="0" xfId="8" quotePrefix="1" applyAlignment="1" applyProtection="1">
      <alignment vertical="top"/>
    </xf>
    <xf numFmtId="0" fontId="24" fillId="17" borderId="0" xfId="12" quotePrefix="1" applyAlignment="1" applyProtection="1">
      <alignment vertical="top"/>
    </xf>
    <xf numFmtId="0" fontId="24" fillId="17" borderId="1" xfId="12" quotePrefix="1" applyBorder="1" applyAlignment="1" applyProtection="1">
      <alignment vertical="top"/>
    </xf>
    <xf numFmtId="0" fontId="24" fillId="17" borderId="1" xfId="12" quotePrefix="1" applyBorder="1" applyAlignment="1" applyProtection="1">
      <alignment vertical="top"/>
      <protection locked="0"/>
    </xf>
    <xf numFmtId="0" fontId="18" fillId="6" borderId="0" xfId="10" quotePrefix="1" applyFont="1" applyFill="1" applyAlignment="1" applyProtection="1">
      <alignment vertical="top" wrapText="1"/>
    </xf>
    <xf numFmtId="0" fontId="18" fillId="6" borderId="1" xfId="10" quotePrefix="1" applyFont="1" applyFill="1" applyBorder="1" applyAlignment="1" applyProtection="1">
      <alignment vertical="top" wrapText="1"/>
    </xf>
    <xf numFmtId="0" fontId="18" fillId="6" borderId="1" xfId="10" quotePrefix="1" applyFont="1" applyFill="1" applyBorder="1" applyAlignment="1" applyProtection="1">
      <alignment vertical="top" wrapText="1"/>
      <protection locked="0"/>
    </xf>
    <xf numFmtId="0" fontId="18" fillId="6" borderId="2" xfId="10" quotePrefix="1" applyFont="1" applyFill="1" applyBorder="1" applyAlignment="1" applyProtection="1">
      <alignment vertical="top" wrapText="1"/>
      <protection locked="0"/>
    </xf>
    <xf numFmtId="0" fontId="0" fillId="0" borderId="0" xfId="0" applyFill="1" applyAlignment="1" applyProtection="1">
      <alignment wrapText="1"/>
    </xf>
    <xf numFmtId="0" fontId="18" fillId="6" borderId="0" xfId="10" quotePrefix="1" applyFont="1" applyFill="1" applyAlignment="1" applyProtection="1">
      <alignment vertical="top"/>
    </xf>
    <xf numFmtId="0" fontId="35" fillId="0" borderId="40" xfId="0" applyNumberFormat="1" applyFont="1" applyFill="1" applyBorder="1" applyAlignment="1" applyProtection="1">
      <alignment wrapText="1"/>
    </xf>
    <xf numFmtId="0" fontId="35" fillId="0" borderId="0" xfId="0" applyNumberFormat="1" applyFont="1" applyFill="1" applyBorder="1" applyAlignment="1" applyProtection="1">
      <alignment wrapText="1"/>
    </xf>
    <xf numFmtId="1" fontId="42" fillId="0" borderId="41" xfId="4" applyNumberFormat="1" applyFont="1" applyFill="1" applyBorder="1" applyAlignment="1" applyProtection="1">
      <alignment horizontal="left" vertical="top" wrapText="1"/>
    </xf>
    <xf numFmtId="1" fontId="42" fillId="0" borderId="42" xfId="4" applyNumberFormat="1" applyFont="1" applyFill="1" applyBorder="1" applyAlignment="1" applyProtection="1">
      <alignment horizontal="left" vertical="top" wrapText="1"/>
    </xf>
    <xf numFmtId="1" fontId="42" fillId="0" borderId="43" xfId="4" applyNumberFormat="1" applyFont="1" applyFill="1" applyBorder="1" applyAlignment="1" applyProtection="1">
      <alignment horizontal="left" vertical="top" wrapText="1"/>
    </xf>
    <xf numFmtId="1" fontId="42" fillId="0" borderId="46" xfId="4" applyNumberFormat="1" applyFont="1" applyFill="1" applyBorder="1" applyAlignment="1" applyProtection="1">
      <alignment horizontal="left" vertical="top" wrapText="1"/>
    </xf>
    <xf numFmtId="0" fontId="43" fillId="0" borderId="15" xfId="0" applyNumberFormat="1" applyFont="1" applyFill="1" applyBorder="1" applyAlignment="1" applyProtection="1">
      <alignment horizontal="left" vertical="top" wrapText="1"/>
    </xf>
    <xf numFmtId="0" fontId="43" fillId="0" borderId="15" xfId="0" applyFont="1" applyFill="1" applyBorder="1" applyAlignment="1" applyProtection="1">
      <alignment horizontal="left" vertical="top" wrapText="1"/>
    </xf>
    <xf numFmtId="1" fontId="1" fillId="0" borderId="1" xfId="0" applyNumberFormat="1"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vertical="top" wrapText="1"/>
    </xf>
    <xf numFmtId="0" fontId="0" fillId="0" borderId="0" xfId="0" applyAlignment="1" applyProtection="1">
      <alignment horizontal="left" vertical="top" wrapText="1"/>
    </xf>
    <xf numFmtId="0" fontId="4" fillId="0" borderId="0" xfId="0" applyFont="1" applyAlignment="1" applyProtection="1">
      <alignment horizontal="left" vertical="top" wrapText="1"/>
    </xf>
    <xf numFmtId="0" fontId="0" fillId="0" borderId="0" xfId="0" applyAlignment="1" applyProtection="1">
      <alignment vertical="top" wrapText="1"/>
    </xf>
    <xf numFmtId="0" fontId="2" fillId="0" borderId="1" xfId="0" applyFont="1" applyBorder="1" applyAlignment="1" applyProtection="1">
      <alignment vertical="top" wrapText="1"/>
    </xf>
    <xf numFmtId="0" fontId="0" fillId="0" borderId="0" xfId="0" applyProtection="1"/>
    <xf numFmtId="0" fontId="3" fillId="0" borderId="0" xfId="0" applyFont="1" applyAlignment="1" applyProtection="1">
      <alignment vertical="top"/>
    </xf>
    <xf numFmtId="0" fontId="0" fillId="0" borderId="0" xfId="0" applyBorder="1" applyAlignment="1">
      <alignment wrapText="1"/>
    </xf>
    <xf numFmtId="0" fontId="1" fillId="0" borderId="11" xfId="0" applyFont="1" applyBorder="1" applyAlignment="1" applyProtection="1">
      <alignment vertical="top" wrapText="1"/>
    </xf>
    <xf numFmtId="0" fontId="24" fillId="0" borderId="0" xfId="8" applyFill="1" applyAlignment="1" applyProtection="1">
      <alignment wrapText="1"/>
    </xf>
    <xf numFmtId="0" fontId="3" fillId="0" borderId="0" xfId="0" applyFont="1" applyFill="1" applyAlignment="1" applyProtection="1">
      <alignment wrapText="1"/>
    </xf>
    <xf numFmtId="0" fontId="2" fillId="0" borderId="0" xfId="0" quotePrefix="1" applyFont="1" applyFill="1" applyAlignment="1" applyProtection="1">
      <alignment vertical="top" wrapText="1"/>
    </xf>
    <xf numFmtId="0" fontId="2" fillId="0" borderId="2" xfId="0" applyFont="1" applyBorder="1" applyAlignment="1" applyProtection="1">
      <alignment vertical="top" wrapText="1"/>
    </xf>
    <xf numFmtId="0" fontId="27" fillId="8" borderId="2" xfId="3" applyFont="1" applyBorder="1" applyAlignment="1" applyProtection="1">
      <alignment vertical="top" wrapText="1"/>
      <protection locked="0"/>
    </xf>
    <xf numFmtId="0" fontId="2" fillId="0" borderId="1" xfId="0" applyFont="1" applyBorder="1" applyAlignment="1" applyProtection="1">
      <alignment vertical="top" wrapText="1"/>
    </xf>
    <xf numFmtId="0" fontId="21" fillId="2" borderId="1" xfId="0" applyFont="1" applyFill="1" applyBorder="1" applyAlignment="1" applyProtection="1">
      <alignment vertical="top" wrapText="1"/>
    </xf>
    <xf numFmtId="0" fontId="21" fillId="0" borderId="1" xfId="0" applyFont="1" applyBorder="1" applyAlignment="1" applyProtection="1">
      <alignment vertical="top" wrapText="1"/>
    </xf>
    <xf numFmtId="0" fontId="2" fillId="0" borderId="10" xfId="0" applyFont="1" applyFill="1" applyBorder="1" applyAlignment="1" applyProtection="1">
      <alignment vertical="top" wrapText="1"/>
    </xf>
    <xf numFmtId="0" fontId="2" fillId="0" borderId="14" xfId="0" applyFont="1" applyBorder="1" applyAlignment="1" applyProtection="1">
      <alignment vertical="top" wrapText="1"/>
    </xf>
    <xf numFmtId="0" fontId="21" fillId="0" borderId="1" xfId="0" applyFont="1" applyFill="1" applyBorder="1" applyAlignment="1" applyProtection="1">
      <alignment vertical="top" wrapText="1"/>
    </xf>
    <xf numFmtId="0" fontId="21" fillId="0" borderId="15" xfId="0" applyFont="1" applyBorder="1" applyAlignment="1" applyProtection="1">
      <alignment vertical="top" wrapText="1"/>
    </xf>
    <xf numFmtId="0" fontId="2" fillId="0" borderId="2" xfId="0" applyFont="1" applyFill="1" applyBorder="1" applyAlignment="1" applyProtection="1">
      <alignment vertical="top" wrapText="1"/>
    </xf>
    <xf numFmtId="0" fontId="2" fillId="0" borderId="16" xfId="0" applyFont="1" applyBorder="1" applyAlignment="1" applyProtection="1">
      <alignment vertical="top" wrapText="1"/>
    </xf>
    <xf numFmtId="0" fontId="35" fillId="6" borderId="1" xfId="10" quotePrefix="1" applyFont="1" applyFill="1" applyBorder="1" applyAlignment="1" applyProtection="1">
      <alignment vertical="top" wrapText="1"/>
    </xf>
    <xf numFmtId="0" fontId="35" fillId="6" borderId="1" xfId="10" quotePrefix="1" applyFont="1" applyFill="1" applyBorder="1" applyAlignment="1" applyProtection="1">
      <alignment vertical="top" wrapText="1"/>
      <protection locked="0"/>
    </xf>
    <xf numFmtId="0" fontId="35" fillId="6" borderId="2" xfId="10" quotePrefix="1" applyFont="1" applyFill="1" applyBorder="1" applyAlignment="1" applyProtection="1">
      <alignment vertical="top" wrapText="1"/>
      <protection locked="0"/>
    </xf>
    <xf numFmtId="0" fontId="2" fillId="2" borderId="1" xfId="3" quotePrefix="1" applyFont="1" applyFill="1" applyBorder="1" applyAlignment="1" applyProtection="1">
      <alignment vertical="top" wrapText="1"/>
    </xf>
    <xf numFmtId="0" fontId="2" fillId="2" borderId="2" xfId="3" quotePrefix="1" applyFont="1" applyFill="1" applyBorder="1" applyAlignment="1" applyProtection="1">
      <alignment vertical="top" wrapText="1"/>
    </xf>
    <xf numFmtId="0" fontId="25" fillId="8" borderId="1" xfId="3" applyFont="1" applyBorder="1" applyAlignment="1" applyProtection="1">
      <alignment vertical="top" wrapText="1"/>
      <protection locked="0"/>
    </xf>
    <xf numFmtId="0" fontId="2" fillId="2" borderId="1" xfId="0" quotePrefix="1" applyNumberFormat="1" applyFont="1" applyFill="1" applyBorder="1" applyAlignment="1" applyProtection="1">
      <alignment vertical="top" wrapText="1"/>
    </xf>
    <xf numFmtId="0" fontId="2" fillId="2" borderId="1" xfId="0" applyNumberFormat="1" applyFont="1" applyFill="1" applyBorder="1" applyAlignment="1" applyProtection="1">
      <alignment vertical="top" wrapText="1"/>
    </xf>
    <xf numFmtId="0" fontId="2" fillId="0" borderId="1" xfId="0" applyNumberFormat="1" applyFont="1" applyBorder="1" applyAlignment="1" applyProtection="1">
      <alignment vertical="top" wrapText="1"/>
    </xf>
    <xf numFmtId="0" fontId="2" fillId="0" borderId="15" xfId="0" applyNumberFormat="1" applyFont="1" applyBorder="1" applyAlignment="1" applyProtection="1">
      <alignment vertical="top" wrapText="1"/>
    </xf>
    <xf numFmtId="0" fontId="35" fillId="6" borderId="0" xfId="10" quotePrefix="1" applyFont="1" applyFill="1" applyAlignment="1" applyProtection="1">
      <alignment vertical="top" wrapText="1"/>
    </xf>
    <xf numFmtId="0" fontId="2" fillId="2" borderId="15" xfId="0" applyFont="1" applyFill="1" applyBorder="1" applyAlignment="1" applyProtection="1">
      <alignment vertical="top" wrapText="1"/>
    </xf>
    <xf numFmtId="0" fontId="2" fillId="2" borderId="15" xfId="0" applyNumberFormat="1" applyFont="1" applyFill="1" applyBorder="1" applyAlignment="1" applyProtection="1">
      <alignment vertical="top" wrapText="1"/>
    </xf>
    <xf numFmtId="0" fontId="21" fillId="2" borderId="15" xfId="0" applyFont="1" applyFill="1" applyBorder="1" applyAlignment="1" applyProtection="1">
      <alignment vertical="top" wrapText="1"/>
    </xf>
    <xf numFmtId="0" fontId="2" fillId="2" borderId="1" xfId="5" quotePrefix="1" applyNumberFormat="1" applyFont="1" applyFill="1" applyBorder="1" applyAlignment="1" applyProtection="1">
      <alignment vertical="top" wrapText="1"/>
    </xf>
    <xf numFmtId="0" fontId="24" fillId="15" borderId="1" xfId="10" quotePrefix="1" applyNumberFormat="1" applyBorder="1" applyAlignment="1" applyProtection="1">
      <alignment vertical="top" wrapText="1"/>
    </xf>
    <xf numFmtId="0" fontId="2" fillId="15" borderId="1" xfId="10" quotePrefix="1" applyNumberFormat="1" applyFont="1" applyBorder="1" applyAlignment="1" applyProtection="1">
      <alignment vertical="top" wrapText="1"/>
    </xf>
    <xf numFmtId="0" fontId="45" fillId="0" borderId="0" xfId="0" applyFont="1" applyFill="1" applyBorder="1" applyAlignment="1" applyProtection="1">
      <alignment vertical="center"/>
      <protection hidden="1"/>
    </xf>
    <xf numFmtId="0" fontId="46" fillId="0" borderId="0" xfId="0" applyFont="1" applyFill="1" applyBorder="1" applyAlignment="1" applyProtection="1">
      <alignment horizontal="center" vertical="top" wrapText="1"/>
      <protection hidden="1"/>
    </xf>
    <xf numFmtId="0" fontId="46" fillId="0" borderId="0" xfId="0" applyFont="1" applyFill="1" applyBorder="1" applyAlignment="1" applyProtection="1">
      <alignment horizontal="left" vertical="top" wrapText="1"/>
      <protection hidden="1"/>
    </xf>
    <xf numFmtId="0" fontId="45" fillId="0" borderId="0" xfId="0" applyFont="1" applyBorder="1" applyAlignment="1" applyProtection="1">
      <alignment vertical="top"/>
      <protection hidden="1"/>
    </xf>
    <xf numFmtId="0" fontId="45" fillId="0" borderId="0" xfId="0" applyFont="1" applyAlignment="1" applyProtection="1">
      <alignment horizontal="center" vertical="top"/>
      <protection hidden="1"/>
    </xf>
    <xf numFmtId="1" fontId="47" fillId="0" borderId="0" xfId="0" applyNumberFormat="1" applyFont="1" applyAlignment="1" applyProtection="1">
      <alignment vertical="top"/>
      <protection hidden="1"/>
    </xf>
    <xf numFmtId="0" fontId="47" fillId="0" borderId="0" xfId="0" applyFont="1" applyAlignment="1" applyProtection="1">
      <alignment vertical="top"/>
      <protection hidden="1"/>
    </xf>
    <xf numFmtId="164" fontId="47" fillId="0" borderId="0" xfId="0" applyNumberFormat="1" applyFont="1" applyAlignment="1" applyProtection="1">
      <alignment horizontal="center" vertical="center"/>
      <protection hidden="1"/>
    </xf>
    <xf numFmtId="2" fontId="47" fillId="0" borderId="0" xfId="0" applyNumberFormat="1" applyFont="1" applyAlignment="1" applyProtection="1">
      <alignment vertical="top"/>
      <protection hidden="1"/>
    </xf>
    <xf numFmtId="164" fontId="47" fillId="0" borderId="0" xfId="0" applyNumberFormat="1" applyFont="1" applyAlignment="1" applyProtection="1">
      <alignment vertical="top"/>
      <protection hidden="1"/>
    </xf>
    <xf numFmtId="0" fontId="47" fillId="0" borderId="0" xfId="0" applyFont="1" applyFill="1" applyAlignment="1" applyProtection="1">
      <alignment vertical="top"/>
      <protection hidden="1"/>
    </xf>
    <xf numFmtId="0" fontId="47" fillId="0" borderId="0" xfId="0" applyFont="1" applyFill="1" applyBorder="1" applyAlignment="1" applyProtection="1">
      <alignment vertical="top"/>
      <protection hidden="1"/>
    </xf>
    <xf numFmtId="0" fontId="46" fillId="0" borderId="0" xfId="0" applyFont="1" applyFill="1" applyBorder="1" applyAlignment="1" applyProtection="1">
      <alignment vertical="center"/>
      <protection hidden="1"/>
    </xf>
    <xf numFmtId="0" fontId="46" fillId="22" borderId="50" xfId="0" applyFont="1" applyFill="1" applyBorder="1" applyAlignment="1" applyProtection="1">
      <alignment horizontal="center" vertical="center" wrapText="1"/>
      <protection hidden="1"/>
    </xf>
    <xf numFmtId="49" fontId="45" fillId="0" borderId="0" xfId="0" applyNumberFormat="1" applyFont="1" applyFill="1" applyBorder="1" applyAlignment="1" applyProtection="1">
      <alignment horizontal="left" vertical="top"/>
      <protection hidden="1"/>
    </xf>
    <xf numFmtId="0" fontId="45" fillId="0" borderId="0" xfId="0" applyFont="1" applyFill="1" applyBorder="1" applyAlignment="1" applyProtection="1">
      <alignment horizontal="left" vertical="top" wrapText="1"/>
      <protection hidden="1"/>
    </xf>
    <xf numFmtId="0" fontId="46" fillId="22" borderId="30" xfId="0" applyFont="1" applyFill="1" applyBorder="1" applyAlignment="1" applyProtection="1">
      <alignment horizontal="center" vertical="center" wrapText="1"/>
      <protection hidden="1"/>
    </xf>
    <xf numFmtId="164" fontId="45" fillId="22" borderId="36" xfId="0" applyNumberFormat="1" applyFont="1" applyFill="1" applyBorder="1" applyAlignment="1" applyProtection="1">
      <alignment horizontal="center" vertical="center" wrapText="1"/>
      <protection hidden="1"/>
    </xf>
    <xf numFmtId="0" fontId="47" fillId="0" borderId="53" xfId="0" applyFont="1" applyBorder="1" applyAlignment="1" applyProtection="1">
      <alignment vertical="top"/>
      <protection hidden="1"/>
    </xf>
    <xf numFmtId="164" fontId="45" fillId="0" borderId="54" xfId="0" applyNumberFormat="1" applyFont="1" applyFill="1" applyBorder="1" applyAlignment="1" applyProtection="1">
      <alignment horizontal="center" vertical="center" wrapText="1"/>
      <protection hidden="1"/>
    </xf>
    <xf numFmtId="0" fontId="45" fillId="0" borderId="0" xfId="0" applyFont="1" applyAlignment="1" applyProtection="1">
      <alignment vertical="top"/>
      <protection hidden="1"/>
    </xf>
    <xf numFmtId="0" fontId="45" fillId="0" borderId="0" xfId="0" applyFont="1" applyFill="1" applyAlignment="1" applyProtection="1">
      <alignment vertical="top"/>
      <protection hidden="1"/>
    </xf>
    <xf numFmtId="0" fontId="46" fillId="22" borderId="49" xfId="0" applyFont="1" applyFill="1" applyBorder="1" applyAlignment="1" applyProtection="1">
      <alignment horizontal="center" vertical="center" wrapText="1"/>
      <protection hidden="1"/>
    </xf>
    <xf numFmtId="164" fontId="45" fillId="0" borderId="0" xfId="0" applyNumberFormat="1" applyFont="1" applyFill="1" applyBorder="1" applyAlignment="1" applyProtection="1">
      <alignment horizontal="center" vertical="center" wrapText="1"/>
      <protection hidden="1"/>
    </xf>
    <xf numFmtId="164" fontId="45" fillId="22" borderId="57" xfId="0" applyNumberFormat="1" applyFont="1" applyFill="1" applyBorder="1" applyAlignment="1" applyProtection="1">
      <alignment horizontal="center" vertical="center" wrapText="1"/>
      <protection hidden="1"/>
    </xf>
    <xf numFmtId="0" fontId="45" fillId="0" borderId="1" xfId="0" applyFont="1" applyBorder="1" applyAlignment="1" applyProtection="1">
      <alignment horizontal="left" vertical="center"/>
      <protection hidden="1"/>
    </xf>
    <xf numFmtId="0" fontId="45" fillId="0" borderId="0" xfId="0" applyFont="1" applyAlignment="1" applyProtection="1">
      <alignment horizontal="left" vertical="center"/>
      <protection hidden="1"/>
    </xf>
    <xf numFmtId="1" fontId="45" fillId="0" borderId="0" xfId="0" applyNumberFormat="1" applyFont="1" applyAlignment="1" applyProtection="1">
      <alignment horizontal="left" vertical="center"/>
      <protection hidden="1"/>
    </xf>
    <xf numFmtId="0" fontId="45" fillId="0" borderId="0" xfId="0" applyFont="1" applyFill="1" applyBorder="1" applyAlignment="1" applyProtection="1">
      <alignment horizontal="center" vertical="center" textRotation="90" wrapText="1"/>
      <protection hidden="1"/>
    </xf>
    <xf numFmtId="0" fontId="48" fillId="0" borderId="53" xfId="0" applyFont="1" applyFill="1" applyBorder="1" applyAlignment="1" applyProtection="1">
      <alignment horizontal="center" vertical="center" wrapText="1"/>
      <protection hidden="1"/>
    </xf>
    <xf numFmtId="0" fontId="45" fillId="0" borderId="0" xfId="0" applyFont="1" applyFill="1" applyBorder="1" applyAlignment="1" applyProtection="1">
      <alignment horizontal="center" vertical="top" wrapText="1"/>
      <protection hidden="1"/>
    </xf>
    <xf numFmtId="0" fontId="49" fillId="24" borderId="38" xfId="0" applyFont="1" applyFill="1" applyBorder="1" applyAlignment="1" applyProtection="1">
      <alignment horizontal="center" vertical="center" wrapText="1"/>
      <protection hidden="1"/>
    </xf>
    <xf numFmtId="0" fontId="49" fillId="24" borderId="62" xfId="0" applyFont="1" applyFill="1" applyBorder="1" applyAlignment="1" applyProtection="1">
      <alignment horizontal="center" vertical="center" wrapText="1"/>
      <protection hidden="1"/>
    </xf>
    <xf numFmtId="0" fontId="49" fillId="24" borderId="24" xfId="0" applyFont="1" applyFill="1" applyBorder="1" applyAlignment="1" applyProtection="1">
      <alignment horizontal="center" vertical="center" wrapText="1"/>
      <protection hidden="1"/>
    </xf>
    <xf numFmtId="1" fontId="49" fillId="24" borderId="9" xfId="0" applyNumberFormat="1" applyFont="1" applyFill="1" applyBorder="1" applyAlignment="1" applyProtection="1">
      <alignment horizontal="center" vertical="center" wrapText="1"/>
      <protection hidden="1"/>
    </xf>
    <xf numFmtId="0" fontId="49" fillId="24" borderId="24" xfId="0" applyFont="1" applyFill="1" applyBorder="1" applyAlignment="1" applyProtection="1">
      <alignment horizontal="center" vertical="center"/>
      <protection hidden="1"/>
    </xf>
    <xf numFmtId="2" fontId="49" fillId="24" borderId="9" xfId="0" applyNumberFormat="1" applyFont="1" applyFill="1" applyBorder="1" applyAlignment="1" applyProtection="1">
      <alignment horizontal="center" vertical="center" wrapText="1"/>
      <protection hidden="1"/>
    </xf>
    <xf numFmtId="2" fontId="49" fillId="24" borderId="24" xfId="0" applyNumberFormat="1" applyFont="1" applyFill="1" applyBorder="1" applyAlignment="1" applyProtection="1">
      <alignment horizontal="center" vertical="center"/>
      <protection hidden="1"/>
    </xf>
    <xf numFmtId="0" fontId="48" fillId="0" borderId="53" xfId="0" applyFont="1" applyFill="1" applyBorder="1" applyAlignment="1" applyProtection="1">
      <alignment horizontal="left" vertical="center" wrapText="1"/>
      <protection hidden="1"/>
    </xf>
    <xf numFmtId="0" fontId="47" fillId="0" borderId="0" xfId="0" applyFont="1" applyFill="1" applyAlignment="1" applyProtection="1">
      <alignment horizontal="center" vertical="center"/>
      <protection hidden="1"/>
    </xf>
    <xf numFmtId="49" fontId="45" fillId="0" borderId="48" xfId="0" applyNumberFormat="1" applyFont="1" applyFill="1" applyBorder="1" applyAlignment="1" applyProtection="1">
      <alignment horizontal="left" vertical="center" wrapText="1"/>
      <protection hidden="1"/>
    </xf>
    <xf numFmtId="2" fontId="50" fillId="22" borderId="48" xfId="0" applyNumberFormat="1" applyFont="1" applyFill="1" applyBorder="1" applyAlignment="1" applyProtection="1">
      <alignment horizontal="center" vertical="center"/>
      <protection hidden="1"/>
    </xf>
    <xf numFmtId="2" fontId="51" fillId="3" borderId="48" xfId="0" applyNumberFormat="1" applyFont="1" applyFill="1" applyBorder="1" applyAlignment="1" applyProtection="1">
      <alignment horizontal="center" vertical="center"/>
      <protection hidden="1"/>
    </xf>
    <xf numFmtId="0" fontId="45" fillId="0" borderId="48" xfId="0" applyFont="1" applyFill="1" applyBorder="1" applyAlignment="1" applyProtection="1">
      <alignment horizontal="center" vertical="center"/>
      <protection hidden="1"/>
    </xf>
    <xf numFmtId="1" fontId="48" fillId="22" borderId="59" xfId="0" applyNumberFormat="1" applyFont="1" applyFill="1" applyBorder="1" applyAlignment="1" applyProtection="1">
      <alignment horizontal="center" vertical="center"/>
      <protection hidden="1"/>
    </xf>
    <xf numFmtId="1" fontId="48" fillId="0" borderId="20" xfId="0" applyNumberFormat="1" applyFont="1" applyFill="1" applyBorder="1" applyAlignment="1" applyProtection="1">
      <alignment horizontal="center" vertical="center"/>
      <protection hidden="1"/>
    </xf>
    <xf numFmtId="164" fontId="47" fillId="22" borderId="48" xfId="0" applyNumberFormat="1" applyFont="1" applyFill="1" applyBorder="1" applyAlignment="1" applyProtection="1">
      <alignment horizontal="center" vertical="center"/>
      <protection hidden="1"/>
    </xf>
    <xf numFmtId="164" fontId="47" fillId="22" borderId="53" xfId="0" applyNumberFormat="1" applyFont="1" applyFill="1" applyBorder="1" applyAlignment="1" applyProtection="1">
      <alignment horizontal="center" vertical="center"/>
      <protection hidden="1"/>
    </xf>
    <xf numFmtId="164" fontId="45" fillId="0" borderId="54" xfId="0" applyNumberFormat="1" applyFont="1" applyFill="1" applyBorder="1" applyAlignment="1" applyProtection="1">
      <alignment horizontal="center" vertical="center"/>
      <protection hidden="1"/>
    </xf>
    <xf numFmtId="0" fontId="52" fillId="0" borderId="0" xfId="0" applyFont="1" applyFill="1" applyBorder="1" applyAlignment="1" applyProtection="1">
      <alignment vertical="center" wrapText="1"/>
      <protection hidden="1"/>
    </xf>
    <xf numFmtId="0" fontId="53" fillId="25" borderId="8" xfId="0" applyFont="1" applyFill="1" applyBorder="1" applyAlignment="1" applyProtection="1">
      <alignment horizontal="center" vertical="center"/>
      <protection hidden="1"/>
    </xf>
    <xf numFmtId="164" fontId="45" fillId="0" borderId="0" xfId="0" applyNumberFormat="1" applyFont="1" applyFill="1" applyBorder="1" applyAlignment="1" applyProtection="1">
      <alignment horizontal="center" vertical="center"/>
      <protection hidden="1"/>
    </xf>
    <xf numFmtId="0" fontId="47" fillId="0" borderId="0" xfId="0" applyFont="1" applyAlignment="1" applyProtection="1">
      <alignment vertical="center"/>
      <protection hidden="1"/>
    </xf>
    <xf numFmtId="49" fontId="46" fillId="0" borderId="4" xfId="0" applyNumberFormat="1" applyFont="1" applyFill="1" applyBorder="1" applyAlignment="1" applyProtection="1">
      <alignment horizontal="right" vertical="center" wrapText="1"/>
      <protection hidden="1"/>
    </xf>
    <xf numFmtId="0" fontId="46" fillId="0" borderId="2" xfId="0" applyFont="1" applyFill="1" applyBorder="1" applyAlignment="1" applyProtection="1">
      <alignment horizontal="left" vertical="center" wrapText="1"/>
      <protection hidden="1"/>
    </xf>
    <xf numFmtId="0" fontId="46" fillId="0" borderId="56" xfId="0" applyFont="1" applyFill="1" applyBorder="1" applyAlignment="1" applyProtection="1">
      <alignment vertical="center"/>
      <protection hidden="1"/>
    </xf>
    <xf numFmtId="1" fontId="45" fillId="26" borderId="40" xfId="0" applyNumberFormat="1" applyFont="1" applyFill="1" applyBorder="1" applyAlignment="1" applyProtection="1">
      <alignment vertical="center"/>
      <protection hidden="1"/>
    </xf>
    <xf numFmtId="0" fontId="45" fillId="26" borderId="40" xfId="0" applyFont="1" applyFill="1" applyBorder="1" applyAlignment="1" applyProtection="1">
      <alignment vertical="center"/>
      <protection hidden="1"/>
    </xf>
    <xf numFmtId="164" fontId="54" fillId="26" borderId="68" xfId="0" applyNumberFormat="1" applyFont="1" applyFill="1" applyBorder="1" applyAlignment="1" applyProtection="1">
      <alignment horizontal="center" vertical="center"/>
      <protection hidden="1"/>
    </xf>
    <xf numFmtId="164" fontId="54" fillId="26" borderId="0" xfId="0" applyNumberFormat="1" applyFont="1" applyFill="1" applyBorder="1" applyAlignment="1" applyProtection="1">
      <alignment horizontal="center" vertical="center"/>
      <protection hidden="1"/>
    </xf>
    <xf numFmtId="1" fontId="45" fillId="26" borderId="0" xfId="0" applyNumberFormat="1" applyFont="1" applyFill="1" applyBorder="1" applyAlignment="1" applyProtection="1">
      <alignment vertical="center"/>
      <protection hidden="1"/>
    </xf>
    <xf numFmtId="0" fontId="45" fillId="26" borderId="0" xfId="0" applyFont="1" applyFill="1" applyBorder="1" applyAlignment="1" applyProtection="1">
      <alignment vertical="center"/>
      <protection hidden="1"/>
    </xf>
    <xf numFmtId="164" fontId="54" fillId="26" borderId="54" xfId="0" applyNumberFormat="1" applyFont="1" applyFill="1" applyBorder="1" applyAlignment="1" applyProtection="1">
      <alignment horizontal="center" vertical="center"/>
      <protection hidden="1"/>
    </xf>
    <xf numFmtId="1" fontId="45" fillId="26" borderId="39" xfId="0" applyNumberFormat="1" applyFont="1" applyFill="1" applyBorder="1" applyAlignment="1" applyProtection="1">
      <alignment vertical="center"/>
      <protection hidden="1"/>
    </xf>
    <xf numFmtId="0" fontId="45" fillId="26" borderId="39" xfId="0" applyFont="1" applyFill="1" applyBorder="1" applyAlignment="1" applyProtection="1">
      <alignment vertical="center"/>
      <protection hidden="1"/>
    </xf>
    <xf numFmtId="164" fontId="54" fillId="26" borderId="70" xfId="0" applyNumberFormat="1" applyFont="1" applyFill="1" applyBorder="1" applyAlignment="1" applyProtection="1">
      <alignment horizontal="center" vertical="center"/>
      <protection hidden="1"/>
    </xf>
    <xf numFmtId="49" fontId="45" fillId="0" borderId="5" xfId="0" applyNumberFormat="1" applyFont="1" applyFill="1" applyBorder="1" applyAlignment="1" applyProtection="1">
      <alignment horizontal="left" vertical="center" wrapText="1"/>
      <protection hidden="1"/>
    </xf>
    <xf numFmtId="2" fontId="50" fillId="22" borderId="69" xfId="0" applyNumberFormat="1" applyFont="1" applyFill="1" applyBorder="1" applyAlignment="1" applyProtection="1">
      <alignment horizontal="center" vertical="center"/>
      <protection hidden="1"/>
    </xf>
    <xf numFmtId="2" fontId="51" fillId="3" borderId="39" xfId="0" applyNumberFormat="1" applyFont="1" applyFill="1" applyBorder="1" applyAlignment="1" applyProtection="1">
      <alignment horizontal="center" vertical="center"/>
      <protection hidden="1"/>
    </xf>
    <xf numFmtId="0" fontId="45" fillId="0" borderId="56" xfId="0" applyFont="1" applyFill="1" applyBorder="1" applyAlignment="1" applyProtection="1">
      <alignment horizontal="center" vertical="center"/>
      <protection hidden="1"/>
    </xf>
    <xf numFmtId="0" fontId="45" fillId="0" borderId="69" xfId="0" applyFont="1" applyFill="1" applyBorder="1" applyAlignment="1" applyProtection="1">
      <alignment horizontal="center" vertical="center"/>
      <protection hidden="1"/>
    </xf>
    <xf numFmtId="1" fontId="48" fillId="22" borderId="4" xfId="0" applyNumberFormat="1" applyFont="1" applyFill="1" applyBorder="1" applyAlignment="1" applyProtection="1">
      <alignment horizontal="center" vertical="center"/>
      <protection hidden="1"/>
    </xf>
    <xf numFmtId="1" fontId="48" fillId="0" borderId="29" xfId="0" applyNumberFormat="1" applyFont="1" applyFill="1" applyBorder="1" applyAlignment="1" applyProtection="1">
      <alignment horizontal="center" vertical="center"/>
      <protection hidden="1"/>
    </xf>
    <xf numFmtId="164" fontId="47" fillId="22" borderId="69" xfId="0" applyNumberFormat="1" applyFont="1" applyFill="1" applyBorder="1" applyAlignment="1" applyProtection="1">
      <alignment horizontal="center" vertical="center"/>
      <protection hidden="1"/>
    </xf>
    <xf numFmtId="164" fontId="47" fillId="22" borderId="56" xfId="0" applyNumberFormat="1" applyFont="1" applyFill="1" applyBorder="1" applyAlignment="1" applyProtection="1">
      <alignment horizontal="center" vertical="center"/>
      <protection hidden="1"/>
    </xf>
    <xf numFmtId="49" fontId="45" fillId="0" borderId="69" xfId="0" applyNumberFormat="1" applyFont="1" applyFill="1" applyBorder="1" applyAlignment="1" applyProtection="1">
      <alignment horizontal="left" vertical="center" wrapText="1"/>
      <protection hidden="1"/>
    </xf>
    <xf numFmtId="1" fontId="48" fillId="22" borderId="6" xfId="0" applyNumberFormat="1" applyFont="1" applyFill="1" applyBorder="1" applyAlignment="1" applyProtection="1">
      <alignment horizontal="center" vertical="center"/>
      <protection hidden="1"/>
    </xf>
    <xf numFmtId="164" fontId="47" fillId="22" borderId="49" xfId="0" applyNumberFormat="1" applyFont="1" applyFill="1" applyBorder="1" applyAlignment="1" applyProtection="1">
      <alignment horizontal="center" vertical="center"/>
      <protection hidden="1"/>
    </xf>
    <xf numFmtId="0" fontId="47" fillId="0" borderId="0" xfId="0" applyFont="1" applyBorder="1" applyAlignment="1" applyProtection="1">
      <alignment vertical="center"/>
      <protection hidden="1"/>
    </xf>
    <xf numFmtId="2" fontId="51" fillId="3" borderId="49" xfId="0" applyNumberFormat="1" applyFont="1" applyFill="1" applyBorder="1" applyAlignment="1" applyProtection="1">
      <alignment vertical="center"/>
      <protection hidden="1"/>
    </xf>
    <xf numFmtId="164" fontId="45" fillId="0" borderId="68" xfId="0" applyNumberFormat="1" applyFont="1" applyFill="1" applyBorder="1" applyAlignment="1" applyProtection="1">
      <alignment horizontal="center" vertical="center"/>
      <protection hidden="1"/>
    </xf>
    <xf numFmtId="0" fontId="53" fillId="27" borderId="8" xfId="0" applyFont="1" applyFill="1" applyBorder="1" applyAlignment="1" applyProtection="1">
      <alignment horizontal="center" vertical="center"/>
      <protection hidden="1"/>
    </xf>
    <xf numFmtId="2" fontId="51" fillId="3" borderId="69" xfId="0" applyNumberFormat="1" applyFont="1" applyFill="1" applyBorder="1" applyAlignment="1" applyProtection="1">
      <alignment vertical="center"/>
      <protection hidden="1"/>
    </xf>
    <xf numFmtId="1" fontId="46" fillId="26" borderId="40" xfId="0" applyNumberFormat="1" applyFont="1" applyFill="1" applyBorder="1" applyAlignment="1" applyProtection="1">
      <alignment vertical="center"/>
      <protection hidden="1"/>
    </xf>
    <xf numFmtId="0" fontId="46" fillId="26" borderId="40" xfId="0" applyFont="1" applyFill="1" applyBorder="1" applyAlignment="1" applyProtection="1">
      <alignment vertical="center"/>
      <protection hidden="1"/>
    </xf>
    <xf numFmtId="0" fontId="47" fillId="0" borderId="0" xfId="0" applyFont="1" applyFill="1" applyBorder="1" applyAlignment="1" applyProtection="1">
      <alignment vertical="center"/>
      <protection hidden="1"/>
    </xf>
    <xf numFmtId="1" fontId="46" fillId="26" borderId="0" xfId="0" applyNumberFormat="1" applyFont="1" applyFill="1" applyBorder="1" applyAlignment="1" applyProtection="1">
      <alignment vertical="center"/>
      <protection hidden="1"/>
    </xf>
    <xf numFmtId="0" fontId="46" fillId="26" borderId="0" xfId="0" applyFont="1" applyFill="1" applyBorder="1" applyAlignment="1" applyProtection="1">
      <alignment vertical="center"/>
      <protection hidden="1"/>
    </xf>
    <xf numFmtId="1" fontId="46" fillId="26" borderId="39" xfId="0" applyNumberFormat="1" applyFont="1" applyFill="1" applyBorder="1" applyAlignment="1" applyProtection="1">
      <alignment vertical="center"/>
      <protection hidden="1"/>
    </xf>
    <xf numFmtId="0" fontId="46" fillId="26" borderId="39" xfId="0" applyFont="1" applyFill="1" applyBorder="1" applyAlignment="1" applyProtection="1">
      <alignment vertical="center"/>
      <protection hidden="1"/>
    </xf>
    <xf numFmtId="164" fontId="47" fillId="22" borderId="5" xfId="0" applyNumberFormat="1" applyFont="1" applyFill="1" applyBorder="1" applyAlignment="1" applyProtection="1">
      <alignment horizontal="center" vertical="center"/>
      <protection hidden="1"/>
    </xf>
    <xf numFmtId="49" fontId="45" fillId="0" borderId="56" xfId="0" applyNumberFormat="1" applyFont="1" applyFill="1" applyBorder="1" applyAlignment="1" applyProtection="1">
      <alignment horizontal="left" vertical="center" wrapText="1"/>
      <protection hidden="1"/>
    </xf>
    <xf numFmtId="0" fontId="46" fillId="0" borderId="13" xfId="0" applyFont="1" applyFill="1" applyBorder="1" applyAlignment="1" applyProtection="1">
      <alignment horizontal="right" vertical="center" wrapText="1"/>
      <protection hidden="1"/>
    </xf>
    <xf numFmtId="0" fontId="46" fillId="0" borderId="7" xfId="0" applyFont="1" applyFill="1" applyBorder="1" applyAlignment="1" applyProtection="1">
      <alignment horizontal="left" vertical="center" wrapText="1"/>
      <protection hidden="1"/>
    </xf>
    <xf numFmtId="2" fontId="55" fillId="0" borderId="0" xfId="0" applyNumberFormat="1" applyFont="1" applyFill="1" applyBorder="1" applyAlignment="1" applyProtection="1">
      <alignment horizontal="center" vertical="center"/>
      <protection hidden="1"/>
    </xf>
    <xf numFmtId="0" fontId="46" fillId="0" borderId="1" xfId="0" applyFont="1" applyFill="1" applyBorder="1" applyAlignment="1" applyProtection="1">
      <alignment horizontal="right" vertical="center" wrapText="1"/>
      <protection hidden="1"/>
    </xf>
    <xf numFmtId="0" fontId="46" fillId="0" borderId="15" xfId="0" applyFont="1" applyFill="1" applyBorder="1" applyAlignment="1" applyProtection="1">
      <alignment horizontal="right" vertical="center" wrapText="1"/>
      <protection hidden="1"/>
    </xf>
    <xf numFmtId="0" fontId="46" fillId="0" borderId="16" xfId="0" applyFont="1" applyFill="1" applyBorder="1" applyAlignment="1" applyProtection="1">
      <alignment horizontal="left" vertical="center" wrapText="1"/>
      <protection hidden="1"/>
    </xf>
    <xf numFmtId="0" fontId="46" fillId="0" borderId="55" xfId="0" applyFont="1" applyFill="1" applyBorder="1" applyAlignment="1" applyProtection="1">
      <alignment vertical="center"/>
      <protection hidden="1"/>
    </xf>
    <xf numFmtId="0" fontId="46" fillId="0" borderId="8" xfId="0" applyFont="1" applyFill="1" applyBorder="1" applyAlignment="1" applyProtection="1">
      <alignment horizontal="right" vertical="center" wrapText="1"/>
      <protection hidden="1"/>
    </xf>
    <xf numFmtId="0" fontId="46" fillId="0" borderId="73" xfId="0" applyFont="1" applyFill="1" applyBorder="1" applyAlignment="1" applyProtection="1">
      <alignment horizontal="left" vertical="center" wrapText="1"/>
      <protection hidden="1"/>
    </xf>
    <xf numFmtId="0" fontId="46" fillId="0" borderId="57" xfId="0" applyFont="1" applyFill="1" applyBorder="1" applyAlignment="1" applyProtection="1">
      <alignment vertical="center"/>
      <protection hidden="1"/>
    </xf>
    <xf numFmtId="1" fontId="45" fillId="26" borderId="37" xfId="0" applyNumberFormat="1" applyFont="1" applyFill="1" applyBorder="1" applyAlignment="1" applyProtection="1">
      <alignment vertical="center"/>
      <protection hidden="1"/>
    </xf>
    <xf numFmtId="0" fontId="45" fillId="26" borderId="37" xfId="0" applyFont="1" applyFill="1" applyBorder="1" applyAlignment="1" applyProtection="1">
      <alignment vertical="center"/>
      <protection hidden="1"/>
    </xf>
    <xf numFmtId="164" fontId="54" fillId="26" borderId="64" xfId="0" applyNumberFormat="1" applyFont="1" applyFill="1" applyBorder="1" applyAlignment="1" applyProtection="1">
      <alignment horizontal="center" vertical="center"/>
      <protection hidden="1"/>
    </xf>
    <xf numFmtId="0" fontId="47" fillId="0" borderId="54" xfId="0" applyFont="1" applyBorder="1" applyAlignment="1" applyProtection="1">
      <alignment vertical="center"/>
      <protection hidden="1"/>
    </xf>
    <xf numFmtId="0" fontId="53" fillId="0" borderId="8" xfId="0" applyFont="1" applyBorder="1" applyAlignment="1" applyProtection="1">
      <alignment horizontal="center" vertical="center"/>
      <protection hidden="1"/>
    </xf>
    <xf numFmtId="49" fontId="46" fillId="0" borderId="11" xfId="0" applyNumberFormat="1" applyFont="1" applyFill="1" applyBorder="1" applyAlignment="1" applyProtection="1">
      <alignment horizontal="right" vertical="center" wrapText="1"/>
      <protection hidden="1"/>
    </xf>
    <xf numFmtId="49" fontId="46" fillId="0" borderId="40" xfId="0" applyNumberFormat="1" applyFont="1" applyFill="1" applyBorder="1" applyAlignment="1" applyProtection="1">
      <alignment horizontal="right" vertical="center" wrapText="1"/>
      <protection hidden="1"/>
    </xf>
    <xf numFmtId="49" fontId="46" fillId="0" borderId="10" xfId="0" applyNumberFormat="1" applyFont="1" applyFill="1" applyBorder="1" applyAlignment="1" applyProtection="1">
      <alignment horizontal="right" vertical="center" wrapText="1"/>
      <protection hidden="1"/>
    </xf>
    <xf numFmtId="2" fontId="50" fillId="22" borderId="56" xfId="0" applyNumberFormat="1" applyFont="1" applyFill="1" applyBorder="1" applyAlignment="1" applyProtection="1">
      <alignment horizontal="center" vertical="center"/>
      <protection hidden="1"/>
    </xf>
    <xf numFmtId="0" fontId="47" fillId="0" borderId="0" xfId="0" applyFont="1" applyAlignment="1" applyProtection="1">
      <alignment horizontal="center" vertical="center"/>
      <protection hidden="1"/>
    </xf>
    <xf numFmtId="2" fontId="51" fillId="3" borderId="65" xfId="0" applyNumberFormat="1" applyFont="1" applyFill="1" applyBorder="1" applyAlignment="1" applyProtection="1">
      <alignment horizontal="center" vertical="center"/>
      <protection hidden="1"/>
    </xf>
    <xf numFmtId="1" fontId="45" fillId="26" borderId="67" xfId="0" applyNumberFormat="1" applyFont="1" applyFill="1" applyBorder="1" applyAlignment="1" applyProtection="1">
      <alignment vertical="center"/>
      <protection hidden="1"/>
    </xf>
    <xf numFmtId="1" fontId="45" fillId="26" borderId="53" xfId="0" applyNumberFormat="1" applyFont="1" applyFill="1" applyBorder="1" applyAlignment="1" applyProtection="1">
      <alignment vertical="center"/>
      <protection hidden="1"/>
    </xf>
    <xf numFmtId="49" fontId="46" fillId="0" borderId="67" xfId="0" applyNumberFormat="1" applyFont="1" applyFill="1" applyBorder="1" applyAlignment="1" applyProtection="1">
      <alignment horizontal="right" vertical="center" wrapText="1"/>
      <protection hidden="1"/>
    </xf>
    <xf numFmtId="1" fontId="45" fillId="26" borderId="6" xfId="0" applyNumberFormat="1" applyFont="1" applyFill="1" applyBorder="1" applyAlignment="1" applyProtection="1">
      <alignment vertical="center"/>
      <protection hidden="1"/>
    </xf>
    <xf numFmtId="1" fontId="48" fillId="0" borderId="22" xfId="0" applyNumberFormat="1" applyFont="1" applyFill="1" applyBorder="1" applyAlignment="1" applyProtection="1">
      <alignment horizontal="center" vertical="center"/>
      <protection hidden="1"/>
    </xf>
    <xf numFmtId="0" fontId="47" fillId="0" borderId="2" xfId="1" applyFont="1" applyFill="1" applyBorder="1" applyAlignment="1" applyProtection="1">
      <alignment horizontal="left" vertical="center" wrapText="1"/>
      <protection hidden="1"/>
    </xf>
    <xf numFmtId="2" fontId="51" fillId="3" borderId="11" xfId="0" applyNumberFormat="1" applyFont="1" applyFill="1" applyBorder="1" applyAlignment="1" applyProtection="1">
      <alignment horizontal="center" vertical="center"/>
      <protection hidden="1"/>
    </xf>
    <xf numFmtId="0" fontId="53" fillId="0" borderId="44" xfId="0" applyFont="1" applyBorder="1" applyAlignment="1" applyProtection="1">
      <alignment vertical="center"/>
      <protection hidden="1"/>
    </xf>
    <xf numFmtId="2" fontId="45" fillId="26" borderId="0" xfId="0" applyNumberFormat="1" applyFont="1" applyFill="1" applyBorder="1" applyAlignment="1" applyProtection="1">
      <alignment vertical="center"/>
      <protection hidden="1"/>
    </xf>
    <xf numFmtId="0" fontId="53" fillId="0" borderId="0" xfId="0" applyFont="1" applyFill="1" applyBorder="1" applyAlignment="1" applyProtection="1">
      <alignment horizontal="center" vertical="center"/>
      <protection hidden="1"/>
    </xf>
    <xf numFmtId="2" fontId="45" fillId="26" borderId="39" xfId="0" applyNumberFormat="1" applyFont="1" applyFill="1" applyBorder="1" applyAlignment="1" applyProtection="1">
      <alignment vertical="center"/>
      <protection hidden="1"/>
    </xf>
    <xf numFmtId="49" fontId="45" fillId="0" borderId="55" xfId="0" applyNumberFormat="1" applyFont="1" applyFill="1" applyBorder="1" applyAlignment="1" applyProtection="1">
      <alignment horizontal="left" vertical="center" wrapText="1"/>
      <protection hidden="1"/>
    </xf>
    <xf numFmtId="0" fontId="45" fillId="0" borderId="55" xfId="0" applyFont="1" applyFill="1" applyBorder="1" applyAlignment="1" applyProtection="1">
      <alignment horizontal="center" vertical="center"/>
      <protection hidden="1"/>
    </xf>
    <xf numFmtId="164" fontId="47" fillId="22" borderId="55" xfId="0" applyNumberFormat="1" applyFont="1" applyFill="1" applyBorder="1" applyAlignment="1" applyProtection="1">
      <alignment horizontal="center" vertical="center"/>
      <protection hidden="1"/>
    </xf>
    <xf numFmtId="2" fontId="45" fillId="26" borderId="40" xfId="0" applyNumberFormat="1" applyFont="1" applyFill="1" applyBorder="1" applyAlignment="1" applyProtection="1">
      <alignment vertical="center"/>
      <protection hidden="1"/>
    </xf>
    <xf numFmtId="0" fontId="53" fillId="0" borderId="0" xfId="0" applyFont="1" applyBorder="1" applyAlignment="1" applyProtection="1">
      <alignment horizontal="center" vertical="center"/>
      <protection hidden="1"/>
    </xf>
    <xf numFmtId="0" fontId="45" fillId="0" borderId="69" xfId="0" applyFont="1" applyFill="1" applyBorder="1" applyAlignment="1" applyProtection="1">
      <alignment horizontal="center" vertical="center" wrapText="1"/>
      <protection hidden="1"/>
    </xf>
    <xf numFmtId="1" fontId="45" fillId="28" borderId="40" xfId="0" applyNumberFormat="1" applyFont="1" applyFill="1" applyBorder="1" applyAlignment="1" applyProtection="1">
      <alignment vertical="center"/>
      <protection hidden="1"/>
    </xf>
    <xf numFmtId="0" fontId="45" fillId="28" borderId="40" xfId="0" applyFont="1" applyFill="1" applyBorder="1" applyAlignment="1" applyProtection="1">
      <alignment vertical="center"/>
      <protection hidden="1"/>
    </xf>
    <xf numFmtId="1" fontId="45" fillId="28" borderId="0" xfId="0" applyNumberFormat="1" applyFont="1" applyFill="1" applyBorder="1" applyAlignment="1" applyProtection="1">
      <alignment vertical="center"/>
      <protection hidden="1"/>
    </xf>
    <xf numFmtId="0" fontId="45" fillId="28" borderId="0" xfId="0" applyFont="1" applyFill="1" applyBorder="1" applyAlignment="1" applyProtection="1">
      <alignment vertical="center"/>
      <protection hidden="1"/>
    </xf>
    <xf numFmtId="49" fontId="46" fillId="0" borderId="9" xfId="0" applyNumberFormat="1" applyFont="1" applyFill="1" applyBorder="1" applyAlignment="1" applyProtection="1">
      <alignment horizontal="right" vertical="center" wrapText="1"/>
      <protection hidden="1"/>
    </xf>
    <xf numFmtId="1" fontId="45" fillId="28" borderId="63" xfId="0" applyNumberFormat="1" applyFont="1" applyFill="1" applyBorder="1" applyAlignment="1" applyProtection="1">
      <alignment vertical="center"/>
      <protection hidden="1"/>
    </xf>
    <xf numFmtId="0" fontId="45" fillId="28" borderId="37" xfId="0" applyFont="1" applyFill="1" applyBorder="1" applyAlignment="1" applyProtection="1">
      <alignment vertical="center"/>
      <protection hidden="1"/>
    </xf>
    <xf numFmtId="1" fontId="45" fillId="28" borderId="39" xfId="0" applyNumberFormat="1" applyFont="1" applyFill="1" applyBorder="1" applyAlignment="1" applyProtection="1">
      <alignment vertical="center"/>
      <protection hidden="1"/>
    </xf>
    <xf numFmtId="0" fontId="45" fillId="28" borderId="39" xfId="0" applyFont="1" applyFill="1" applyBorder="1" applyAlignment="1" applyProtection="1">
      <alignment vertical="center"/>
      <protection hidden="1"/>
    </xf>
    <xf numFmtId="1" fontId="48" fillId="0" borderId="56" xfId="0" applyNumberFormat="1" applyFont="1" applyFill="1" applyBorder="1" applyAlignment="1" applyProtection="1">
      <alignment horizontal="center" vertical="center"/>
      <protection hidden="1"/>
    </xf>
    <xf numFmtId="0" fontId="46" fillId="0" borderId="76" xfId="0" applyFont="1" applyFill="1" applyBorder="1" applyAlignment="1" applyProtection="1">
      <alignment horizontal="left" vertical="center" wrapText="1"/>
      <protection hidden="1"/>
    </xf>
    <xf numFmtId="164" fontId="54" fillId="26" borderId="39" xfId="0" applyNumberFormat="1" applyFont="1" applyFill="1" applyBorder="1" applyAlignment="1" applyProtection="1">
      <alignment horizontal="center" vertical="center"/>
      <protection hidden="1"/>
    </xf>
    <xf numFmtId="0" fontId="45" fillId="0" borderId="5" xfId="0" applyFont="1" applyFill="1" applyBorder="1" applyAlignment="1" applyProtection="1">
      <alignment horizontal="center" vertical="center"/>
      <protection hidden="1"/>
    </xf>
    <xf numFmtId="2" fontId="50" fillId="22" borderId="55" xfId="0" applyNumberFormat="1" applyFont="1" applyFill="1" applyBorder="1" applyAlignment="1" applyProtection="1">
      <alignment horizontal="center" vertical="center"/>
    </xf>
    <xf numFmtId="2" fontId="51" fillId="3" borderId="40" xfId="0" applyNumberFormat="1" applyFont="1" applyFill="1" applyBorder="1" applyAlignment="1" applyProtection="1">
      <alignment horizontal="center" vertical="center"/>
      <protection hidden="1"/>
    </xf>
    <xf numFmtId="1" fontId="48" fillId="22" borderId="21" xfId="0" applyNumberFormat="1" applyFont="1" applyFill="1" applyBorder="1" applyAlignment="1" applyProtection="1">
      <alignment horizontal="center" vertical="center"/>
      <protection hidden="1"/>
    </xf>
    <xf numFmtId="1" fontId="48" fillId="0" borderId="77" xfId="0" applyNumberFormat="1"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49" fontId="45" fillId="0" borderId="57" xfId="0" applyNumberFormat="1" applyFont="1" applyFill="1" applyBorder="1" applyAlignment="1" applyProtection="1">
      <alignment horizontal="left" vertical="center" wrapText="1"/>
      <protection hidden="1"/>
    </xf>
    <xf numFmtId="2" fontId="51" fillId="3" borderId="62" xfId="0" applyNumberFormat="1" applyFont="1" applyFill="1" applyBorder="1" applyAlignment="1" applyProtection="1">
      <alignment horizontal="center" vertical="center"/>
      <protection hidden="1"/>
    </xf>
    <xf numFmtId="0" fontId="45" fillId="0" borderId="57" xfId="0" applyFont="1" applyFill="1" applyBorder="1" applyAlignment="1" applyProtection="1">
      <alignment horizontal="center" vertical="center"/>
      <protection hidden="1"/>
    </xf>
    <xf numFmtId="1" fontId="48" fillId="22" borderId="9" xfId="0" applyNumberFormat="1" applyFont="1" applyFill="1" applyBorder="1" applyAlignment="1" applyProtection="1">
      <alignment horizontal="center" vertical="center"/>
      <protection hidden="1"/>
    </xf>
    <xf numFmtId="1" fontId="48" fillId="0" borderId="24" xfId="0" applyNumberFormat="1" applyFont="1" applyFill="1" applyBorder="1" applyAlignment="1" applyProtection="1">
      <alignment horizontal="center" vertical="center"/>
      <protection hidden="1"/>
    </xf>
    <xf numFmtId="164" fontId="47" fillId="22" borderId="57" xfId="0" applyNumberFormat="1" applyFont="1" applyFill="1" applyBorder="1" applyAlignment="1" applyProtection="1">
      <alignment horizontal="center" vertical="center"/>
      <protection hidden="1"/>
    </xf>
    <xf numFmtId="0" fontId="45" fillId="0" borderId="0" xfId="0" applyFont="1" applyFill="1" applyBorder="1" applyAlignment="1" applyProtection="1">
      <alignment horizontal="left" vertical="center"/>
      <protection hidden="1"/>
    </xf>
    <xf numFmtId="0" fontId="45" fillId="0" borderId="79" xfId="0" applyFont="1" applyFill="1" applyBorder="1" applyAlignment="1" applyProtection="1">
      <alignment horizontal="center" vertical="center" wrapText="1"/>
      <protection hidden="1"/>
    </xf>
    <xf numFmtId="0" fontId="46" fillId="0" borderId="79" xfId="0" applyFont="1" applyFill="1" applyBorder="1" applyAlignment="1" applyProtection="1">
      <alignment horizontal="center" vertical="center" wrapText="1"/>
      <protection hidden="1"/>
    </xf>
    <xf numFmtId="2" fontId="50" fillId="0" borderId="35" xfId="0" applyNumberFormat="1" applyFont="1" applyFill="1" applyBorder="1" applyAlignment="1" applyProtection="1">
      <alignment horizontal="center" vertical="center"/>
      <protection hidden="1"/>
    </xf>
    <xf numFmtId="2" fontId="51" fillId="0" borderId="35" xfId="0" applyNumberFormat="1" applyFont="1" applyFill="1" applyBorder="1" applyAlignment="1" applyProtection="1">
      <alignment horizontal="center" vertical="center"/>
      <protection hidden="1"/>
    </xf>
    <xf numFmtId="0" fontId="45" fillId="0" borderId="35" xfId="0" applyFont="1" applyFill="1" applyBorder="1" applyAlignment="1" applyProtection="1">
      <alignment horizontal="center" vertical="center"/>
      <protection hidden="1"/>
    </xf>
    <xf numFmtId="1" fontId="48" fillId="0" borderId="79" xfId="0" applyNumberFormat="1" applyFont="1" applyFill="1" applyBorder="1" applyAlignment="1" applyProtection="1">
      <alignment horizontal="center" vertical="center"/>
      <protection hidden="1"/>
    </xf>
    <xf numFmtId="164" fontId="47" fillId="0" borderId="35" xfId="0" applyNumberFormat="1" applyFont="1" applyFill="1" applyBorder="1" applyAlignment="1" applyProtection="1">
      <alignment horizontal="center" vertical="center"/>
      <protection hidden="1"/>
    </xf>
    <xf numFmtId="2" fontId="47" fillId="0" borderId="35" xfId="0" applyNumberFormat="1" applyFont="1" applyFill="1" applyBorder="1" applyAlignment="1" applyProtection="1">
      <alignment horizontal="center" vertical="center"/>
      <protection hidden="1"/>
    </xf>
    <xf numFmtId="2" fontId="47" fillId="0" borderId="0" xfId="0" applyNumberFormat="1" applyFont="1" applyFill="1" applyBorder="1" applyAlignment="1" applyProtection="1">
      <alignment horizontal="center" vertical="center"/>
      <protection hidden="1"/>
    </xf>
    <xf numFmtId="164" fontId="47" fillId="0" borderId="0" xfId="0" applyNumberFormat="1" applyFont="1" applyFill="1" applyBorder="1" applyAlignment="1" applyProtection="1">
      <alignment horizontal="center" vertical="center"/>
      <protection hidden="1"/>
    </xf>
    <xf numFmtId="0" fontId="45" fillId="0" borderId="0" xfId="0" applyFont="1" applyFill="1" applyBorder="1" applyAlignment="1" applyProtection="1">
      <alignment horizontal="left" vertical="center" wrapText="1"/>
      <protection hidden="1"/>
    </xf>
    <xf numFmtId="0" fontId="52" fillId="0" borderId="0" xfId="0" applyFont="1" applyFill="1" applyBorder="1" applyAlignment="1" applyProtection="1">
      <alignment horizontal="left" vertical="center" wrapText="1"/>
      <protection hidden="1"/>
    </xf>
    <xf numFmtId="49" fontId="45" fillId="0" borderId="48" xfId="0" applyNumberFormat="1" applyFont="1" applyFill="1" applyBorder="1" applyAlignment="1" applyProtection="1">
      <alignment horizontal="left" wrapText="1"/>
      <protection hidden="1"/>
    </xf>
    <xf numFmtId="2" fontId="51" fillId="3" borderId="65" xfId="0" applyNumberFormat="1" applyFont="1" applyFill="1" applyBorder="1" applyAlignment="1" applyProtection="1">
      <alignment horizontal="center"/>
      <protection hidden="1"/>
    </xf>
    <xf numFmtId="0" fontId="45" fillId="0" borderId="48" xfId="0" applyFont="1" applyFill="1" applyBorder="1" applyAlignment="1" applyProtection="1">
      <alignment horizontal="center"/>
      <protection hidden="1"/>
    </xf>
    <xf numFmtId="49" fontId="46" fillId="0" borderId="4" xfId="0" applyNumberFormat="1" applyFont="1" applyFill="1" applyBorder="1" applyAlignment="1" applyProtection="1">
      <alignment horizontal="right" wrapText="1"/>
      <protection hidden="1"/>
    </xf>
    <xf numFmtId="0" fontId="46" fillId="0" borderId="2" xfId="0" applyFont="1" applyFill="1" applyBorder="1" applyAlignment="1" applyProtection="1">
      <alignment horizontal="left" wrapText="1"/>
      <protection hidden="1"/>
    </xf>
    <xf numFmtId="0" fontId="46" fillId="0" borderId="56" xfId="0" applyFont="1" applyFill="1" applyBorder="1" applyAlignment="1" applyProtection="1">
      <protection hidden="1"/>
    </xf>
    <xf numFmtId="1" fontId="45" fillId="28" borderId="6" xfId="0" applyNumberFormat="1" applyFont="1" applyFill="1" applyBorder="1" applyAlignment="1" applyProtection="1">
      <alignment vertical="center"/>
      <protection hidden="1"/>
    </xf>
    <xf numFmtId="49" fontId="45" fillId="0" borderId="56" xfId="0" applyNumberFormat="1" applyFont="1" applyFill="1" applyBorder="1" applyAlignment="1" applyProtection="1">
      <alignment horizontal="left" wrapText="1"/>
      <protection hidden="1"/>
    </xf>
    <xf numFmtId="2" fontId="51" fillId="3" borderId="11" xfId="0" applyNumberFormat="1" applyFont="1" applyFill="1" applyBorder="1" applyAlignment="1" applyProtection="1">
      <alignment horizontal="center"/>
      <protection hidden="1"/>
    </xf>
    <xf numFmtId="0" fontId="45" fillId="0" borderId="56" xfId="0" applyFont="1" applyFill="1" applyBorder="1" applyAlignment="1" applyProtection="1">
      <alignment horizontal="center"/>
      <protection hidden="1"/>
    </xf>
    <xf numFmtId="0" fontId="46" fillId="0" borderId="1" xfId="0" applyFont="1" applyFill="1" applyBorder="1" applyAlignment="1" applyProtection="1">
      <alignment horizontal="left" wrapText="1"/>
      <protection hidden="1"/>
    </xf>
    <xf numFmtId="0" fontId="45" fillId="2" borderId="56" xfId="0" applyFont="1" applyFill="1" applyBorder="1" applyAlignment="1" applyProtection="1">
      <alignment horizontal="center"/>
      <protection hidden="1"/>
    </xf>
    <xf numFmtId="0" fontId="46" fillId="2" borderId="2" xfId="0" applyFont="1" applyFill="1" applyBorder="1" applyAlignment="1" applyProtection="1">
      <alignment horizontal="left" wrapText="1"/>
      <protection hidden="1"/>
    </xf>
    <xf numFmtId="0" fontId="46" fillId="2" borderId="56" xfId="0" applyFont="1" applyFill="1" applyBorder="1" applyAlignment="1" applyProtection="1">
      <protection hidden="1"/>
    </xf>
    <xf numFmtId="49" fontId="46" fillId="0" borderId="9" xfId="0" applyNumberFormat="1" applyFont="1" applyFill="1" applyBorder="1" applyAlignment="1" applyProtection="1">
      <alignment horizontal="right" wrapText="1"/>
      <protection hidden="1"/>
    </xf>
    <xf numFmtId="0" fontId="46" fillId="2" borderId="73" xfId="0" applyFont="1" applyFill="1" applyBorder="1" applyAlignment="1" applyProtection="1">
      <alignment horizontal="left" wrapText="1"/>
      <protection hidden="1"/>
    </xf>
    <xf numFmtId="0" fontId="46" fillId="2" borderId="57" xfId="0" applyFont="1" applyFill="1" applyBorder="1" applyAlignment="1" applyProtection="1">
      <protection hidden="1"/>
    </xf>
    <xf numFmtId="1" fontId="45" fillId="26" borderId="63" xfId="0" applyNumberFormat="1" applyFont="1" applyFill="1" applyBorder="1" applyAlignment="1" applyProtection="1">
      <alignment vertical="center"/>
      <protection hidden="1"/>
    </xf>
    <xf numFmtId="0" fontId="47" fillId="0" borderId="0" xfId="0" applyFont="1" applyBorder="1" applyAlignment="1" applyProtection="1">
      <alignment vertical="top"/>
      <protection hidden="1"/>
    </xf>
    <xf numFmtId="0" fontId="45" fillId="0" borderId="0" xfId="0" applyFont="1" applyBorder="1" applyAlignment="1" applyProtection="1">
      <alignment horizontal="center" vertical="top"/>
      <protection hidden="1"/>
    </xf>
    <xf numFmtId="1" fontId="47" fillId="0" borderId="0" xfId="0" applyNumberFormat="1" applyFont="1" applyBorder="1" applyAlignment="1" applyProtection="1">
      <alignment vertical="top"/>
      <protection hidden="1"/>
    </xf>
    <xf numFmtId="164" fontId="47" fillId="0" borderId="0" xfId="0" applyNumberFormat="1" applyFont="1" applyBorder="1" applyAlignment="1" applyProtection="1">
      <alignment horizontal="center" vertical="center"/>
      <protection hidden="1"/>
    </xf>
    <xf numFmtId="2" fontId="47" fillId="0" borderId="0" xfId="0" applyNumberFormat="1" applyFont="1" applyBorder="1" applyAlignment="1" applyProtection="1">
      <alignment vertical="top"/>
      <protection hidden="1"/>
    </xf>
    <xf numFmtId="0" fontId="52" fillId="0" borderId="0" xfId="0" applyFont="1" applyFill="1" applyBorder="1" applyAlignment="1" applyProtection="1">
      <alignment vertical="top" wrapText="1"/>
      <protection hidden="1"/>
    </xf>
    <xf numFmtId="166" fontId="47" fillId="0" borderId="0" xfId="0" applyNumberFormat="1" applyFont="1" applyAlignment="1" applyProtection="1">
      <alignment vertical="top"/>
      <protection hidden="1"/>
    </xf>
    <xf numFmtId="166" fontId="45" fillId="0" borderId="0" xfId="0" applyNumberFormat="1" applyFont="1" applyFill="1" applyAlignment="1" applyProtection="1">
      <alignment vertical="top"/>
      <protection hidden="1"/>
    </xf>
    <xf numFmtId="166" fontId="45" fillId="0" borderId="0" xfId="0" applyNumberFormat="1" applyFont="1" applyAlignment="1" applyProtection="1">
      <alignment horizontal="center" vertical="top"/>
      <protection hidden="1"/>
    </xf>
    <xf numFmtId="166" fontId="47" fillId="0" borderId="0" xfId="0" applyNumberFormat="1" applyFont="1" applyFill="1" applyBorder="1" applyAlignment="1" applyProtection="1">
      <alignment vertical="top"/>
      <protection hidden="1"/>
    </xf>
    <xf numFmtId="0" fontId="46" fillId="0" borderId="0" xfId="0" applyFont="1" applyBorder="1" applyAlignment="1" applyProtection="1">
      <alignment horizontal="center" vertical="top"/>
      <protection hidden="1"/>
    </xf>
    <xf numFmtId="1" fontId="46" fillId="0" borderId="0" xfId="0" applyNumberFormat="1" applyFont="1" applyBorder="1" applyAlignment="1" applyProtection="1">
      <alignment horizontal="center" vertical="top"/>
      <protection hidden="1"/>
    </xf>
    <xf numFmtId="164" fontId="47" fillId="0" borderId="0" xfId="0" applyNumberFormat="1" applyFont="1" applyBorder="1" applyAlignment="1" applyProtection="1">
      <alignment vertical="top"/>
      <protection hidden="1"/>
    </xf>
    <xf numFmtId="0" fontId="46" fillId="0" borderId="0" xfId="0" applyFont="1" applyFill="1" applyBorder="1" applyAlignment="1" applyProtection="1">
      <alignment horizontal="left" vertical="center"/>
      <protection hidden="1"/>
    </xf>
    <xf numFmtId="0" fontId="46" fillId="0" borderId="0" xfId="0" applyFont="1" applyFill="1" applyAlignment="1" applyProtection="1">
      <alignment horizontal="center" vertical="top"/>
      <protection hidden="1"/>
    </xf>
    <xf numFmtId="1" fontId="45" fillId="0" borderId="0" xfId="0" applyNumberFormat="1" applyFont="1" applyBorder="1" applyAlignment="1" applyProtection="1">
      <alignment horizontal="center" vertical="top"/>
      <protection hidden="1"/>
    </xf>
    <xf numFmtId="1" fontId="45" fillId="0" borderId="0" xfId="0" applyNumberFormat="1" applyFont="1" applyFill="1" applyBorder="1" applyAlignment="1" applyProtection="1">
      <alignment horizontal="center" vertical="top" wrapText="1"/>
      <protection hidden="1"/>
    </xf>
    <xf numFmtId="0" fontId="46" fillId="0" borderId="0" xfId="0" applyFont="1" applyBorder="1" applyAlignment="1" applyProtection="1">
      <alignment horizontal="center" vertical="center"/>
      <protection hidden="1"/>
    </xf>
    <xf numFmtId="0" fontId="46" fillId="0" borderId="0" xfId="0" applyFont="1" applyFill="1" applyBorder="1" applyAlignment="1" applyProtection="1">
      <alignment horizontal="center" vertical="center" wrapText="1"/>
      <protection hidden="1"/>
    </xf>
    <xf numFmtId="1" fontId="46" fillId="0" borderId="0" xfId="0" applyNumberFormat="1" applyFont="1" applyFill="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0" fontId="47" fillId="0" borderId="0" xfId="0" applyFont="1" applyAlignment="1" applyProtection="1">
      <alignment horizontal="left" vertical="center"/>
      <protection hidden="1"/>
    </xf>
    <xf numFmtId="0" fontId="45" fillId="0" borderId="0" xfId="0" applyFont="1" applyFill="1" applyAlignment="1" applyProtection="1">
      <alignment horizontal="left" vertical="center"/>
      <protection hidden="1"/>
    </xf>
    <xf numFmtId="0" fontId="45" fillId="0" borderId="0" xfId="0" applyFont="1" applyBorder="1" applyAlignment="1" applyProtection="1">
      <alignment horizontal="left" vertical="center"/>
      <protection hidden="1"/>
    </xf>
    <xf numFmtId="1" fontId="47" fillId="0" borderId="0" xfId="0" applyNumberFormat="1" applyFont="1" applyBorder="1" applyAlignment="1" applyProtection="1">
      <alignment horizontal="left" vertical="center"/>
      <protection hidden="1"/>
    </xf>
    <xf numFmtId="0" fontId="47" fillId="0" borderId="0" xfId="0" applyFont="1" applyBorder="1" applyAlignment="1" applyProtection="1">
      <alignment horizontal="left" vertical="center"/>
      <protection hidden="1"/>
    </xf>
    <xf numFmtId="2" fontId="47" fillId="0" borderId="0" xfId="0" applyNumberFormat="1" applyFont="1" applyBorder="1" applyAlignment="1" applyProtection="1">
      <alignment horizontal="left" vertical="center"/>
      <protection hidden="1"/>
    </xf>
    <xf numFmtId="164" fontId="47" fillId="0" borderId="0" xfId="0" applyNumberFormat="1" applyFont="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1" fontId="47" fillId="0" borderId="0" xfId="0" applyNumberFormat="1" applyFont="1" applyAlignment="1" applyProtection="1">
      <alignment horizontal="left" vertical="center"/>
      <protection hidden="1"/>
    </xf>
    <xf numFmtId="2" fontId="47" fillId="0" borderId="0" xfId="0" applyNumberFormat="1" applyFont="1" applyAlignment="1" applyProtection="1">
      <alignment horizontal="left" vertical="center"/>
      <protection hidden="1"/>
    </xf>
    <xf numFmtId="164" fontId="47" fillId="0" borderId="0" xfId="0" applyNumberFormat="1" applyFont="1" applyAlignment="1" applyProtection="1">
      <alignment horizontal="left" vertical="center"/>
      <protection hidden="1"/>
    </xf>
    <xf numFmtId="0" fontId="58" fillId="0" borderId="0" xfId="0" applyFont="1" applyFill="1" applyBorder="1" applyAlignment="1" applyProtection="1">
      <alignment horizontal="left" vertical="center"/>
      <protection hidden="1"/>
    </xf>
    <xf numFmtId="0" fontId="47" fillId="0" borderId="0" xfId="0" applyFont="1" applyAlignment="1" applyProtection="1">
      <alignment horizontal="left" vertical="center" wrapText="1"/>
      <protection hidden="1"/>
    </xf>
    <xf numFmtId="0" fontId="46" fillId="0" borderId="0" xfId="0" applyFont="1" applyFill="1" applyBorder="1" applyAlignment="1" applyProtection="1">
      <alignment horizontal="left" vertical="center" wrapText="1"/>
      <protection hidden="1"/>
    </xf>
    <xf numFmtId="0" fontId="45" fillId="0" borderId="0" xfId="0" applyFont="1" applyFill="1" applyAlignment="1" applyProtection="1">
      <alignment horizontal="left" vertical="center" wrapText="1"/>
      <protection hidden="1"/>
    </xf>
    <xf numFmtId="0" fontId="45" fillId="0" borderId="0" xfId="0" applyFont="1" applyAlignment="1" applyProtection="1">
      <alignment horizontal="left" vertical="center" wrapText="1"/>
      <protection hidden="1"/>
    </xf>
    <xf numFmtId="1" fontId="47" fillId="0" borderId="0" xfId="0" applyNumberFormat="1" applyFont="1" applyAlignment="1" applyProtection="1">
      <alignment horizontal="left" vertical="center" wrapText="1"/>
      <protection hidden="1"/>
    </xf>
    <xf numFmtId="164" fontId="47" fillId="0" borderId="0" xfId="0" applyNumberFormat="1" applyFont="1" applyAlignment="1" applyProtection="1">
      <alignment horizontal="center" vertical="center" wrapText="1"/>
      <protection hidden="1"/>
    </xf>
    <xf numFmtId="2" fontId="47" fillId="0" borderId="0" xfId="0" applyNumberFormat="1" applyFont="1" applyAlignment="1" applyProtection="1">
      <alignment horizontal="left" vertical="center" wrapText="1"/>
      <protection hidden="1"/>
    </xf>
    <xf numFmtId="164" fontId="47" fillId="0" borderId="0" xfId="0" applyNumberFormat="1" applyFont="1" applyAlignment="1" applyProtection="1">
      <alignment horizontal="left" vertical="center" wrapText="1"/>
      <protection hidden="1"/>
    </xf>
    <xf numFmtId="0" fontId="47" fillId="0" borderId="0" xfId="0" applyFont="1" applyFill="1" applyBorder="1" applyAlignment="1" applyProtection="1">
      <alignment horizontal="left" vertical="center" wrapText="1"/>
      <protection hidden="1"/>
    </xf>
    <xf numFmtId="49" fontId="0" fillId="0" borderId="0" xfId="0" applyNumberFormat="1"/>
    <xf numFmtId="164" fontId="0" fillId="0" borderId="0" xfId="2" applyNumberFormat="1" applyFont="1"/>
    <xf numFmtId="0" fontId="0" fillId="0" borderId="0" xfId="0" applyNumberFormat="1"/>
    <xf numFmtId="0" fontId="22" fillId="0" borderId="81" xfId="0" applyFont="1" applyBorder="1" applyProtection="1"/>
    <xf numFmtId="0" fontId="22" fillId="0" borderId="15" xfId="0" applyFont="1" applyBorder="1" applyProtection="1"/>
    <xf numFmtId="164" fontId="22" fillId="0" borderId="15" xfId="2" applyNumberFormat="1" applyFont="1" applyBorder="1" applyProtection="1"/>
    <xf numFmtId="164" fontId="22" fillId="0" borderId="15" xfId="0" applyNumberFormat="1" applyFont="1" applyBorder="1" applyProtection="1"/>
    <xf numFmtId="164" fontId="22" fillId="0" borderId="77" xfId="2" applyNumberFormat="1" applyFont="1" applyBorder="1" applyProtection="1"/>
    <xf numFmtId="10" fontId="22" fillId="0" borderId="15" xfId="0" applyNumberFormat="1" applyFont="1" applyBorder="1" applyProtection="1"/>
    <xf numFmtId="0" fontId="4" fillId="0" borderId="0" xfId="0" applyFont="1" applyAlignment="1" applyProtection="1">
      <alignment horizontal="left" vertical="top" wrapText="1"/>
    </xf>
    <xf numFmtId="0" fontId="2" fillId="0" borderId="1" xfId="0" applyFont="1" applyBorder="1" applyAlignment="1" applyProtection="1">
      <alignment vertical="top" wrapText="1"/>
    </xf>
    <xf numFmtId="0" fontId="2" fillId="0" borderId="0" xfId="0" applyFont="1" applyAlignment="1" applyProtection="1">
      <alignment horizontal="left" vertical="top" wrapText="1"/>
    </xf>
    <xf numFmtId="0" fontId="3" fillId="0" borderId="0" xfId="0" applyFont="1" applyAlignment="1" applyProtection="1">
      <alignment horizontal="left" vertical="top" wrapText="1"/>
    </xf>
    <xf numFmtId="0" fontId="0" fillId="0" borderId="0" xfId="0" applyAlignment="1" applyProtection="1"/>
    <xf numFmtId="0" fontId="3" fillId="0" borderId="2" xfId="0" applyFont="1" applyBorder="1" applyAlignment="1" applyProtection="1">
      <alignment vertical="top" wrapText="1"/>
    </xf>
    <xf numFmtId="0" fontId="2" fillId="0" borderId="15" xfId="0" applyFont="1" applyBorder="1" applyAlignment="1" applyProtection="1">
      <alignment vertical="top"/>
    </xf>
    <xf numFmtId="0" fontId="2" fillId="0" borderId="1" xfId="0" applyFont="1" applyBorder="1" applyAlignment="1" applyProtection="1">
      <alignment vertical="top"/>
    </xf>
    <xf numFmtId="0" fontId="6" fillId="0" borderId="0" xfId="0" applyFont="1" applyAlignment="1" applyProtection="1">
      <alignment horizontal="left" vertical="top" wrapText="1"/>
    </xf>
    <xf numFmtId="0" fontId="39" fillId="0" borderId="15" xfId="0" applyFont="1" applyFill="1" applyBorder="1" applyAlignment="1" applyProtection="1">
      <alignment horizontal="left" vertical="top" wrapText="1"/>
    </xf>
    <xf numFmtId="0" fontId="3" fillId="0" borderId="0" xfId="0" applyFont="1" applyAlignment="1" applyProtection="1">
      <alignment vertical="top"/>
    </xf>
    <xf numFmtId="0" fontId="0" fillId="0" borderId="1" xfId="0" applyBorder="1"/>
    <xf numFmtId="164" fontId="0" fillId="0" borderId="1" xfId="2" applyNumberFormat="1" applyFont="1" applyBorder="1"/>
    <xf numFmtId="49" fontId="0" fillId="0" borderId="1" xfId="0" applyNumberFormat="1" applyBorder="1"/>
    <xf numFmtId="0" fontId="0" fillId="0" borderId="1" xfId="0" applyNumberFormat="1" applyBorder="1"/>
    <xf numFmtId="164" fontId="0" fillId="0" borderId="1" xfId="0" applyNumberFormat="1" applyBorder="1"/>
    <xf numFmtId="9" fontId="0" fillId="0" borderId="1" xfId="2" applyFont="1" applyBorder="1"/>
    <xf numFmtId="0" fontId="0" fillId="0" borderId="1" xfId="0" applyBorder="1" applyAlignment="1">
      <alignment wrapText="1"/>
    </xf>
    <xf numFmtId="164" fontId="0" fillId="0" borderId="1" xfId="2" applyNumberFormat="1" applyFont="1" applyBorder="1" applyAlignment="1">
      <alignment wrapText="1"/>
    </xf>
    <xf numFmtId="0" fontId="0" fillId="0" borderId="13" xfId="0" applyNumberFormat="1" applyBorder="1"/>
    <xf numFmtId="9" fontId="0" fillId="0" borderId="13" xfId="2" applyFont="1" applyBorder="1"/>
    <xf numFmtId="164" fontId="0" fillId="0" borderId="13" xfId="2" applyNumberFormat="1" applyFont="1" applyBorder="1"/>
    <xf numFmtId="0" fontId="0" fillId="0" borderId="8" xfId="0" applyNumberFormat="1" applyBorder="1"/>
    <xf numFmtId="9" fontId="0" fillId="0" borderId="8" xfId="2" applyFont="1" applyBorder="1"/>
    <xf numFmtId="164" fontId="0" fillId="0" borderId="8" xfId="2" applyNumberFormat="1" applyFont="1" applyBorder="1"/>
    <xf numFmtId="49" fontId="0" fillId="0" borderId="8" xfId="0" applyNumberFormat="1" applyBorder="1"/>
    <xf numFmtId="164" fontId="0" fillId="0" borderId="8" xfId="0" applyNumberFormat="1" applyBorder="1"/>
    <xf numFmtId="49" fontId="0" fillId="0" borderId="13" xfId="0" applyNumberFormat="1" applyBorder="1"/>
    <xf numFmtId="0" fontId="0" fillId="0" borderId="13" xfId="0" applyBorder="1"/>
    <xf numFmtId="164" fontId="0" fillId="0" borderId="13" xfId="0" applyNumberFormat="1" applyBorder="1"/>
    <xf numFmtId="0" fontId="0" fillId="0" borderId="8" xfId="0" applyBorder="1"/>
    <xf numFmtId="0" fontId="39" fillId="0" borderId="2" xfId="0" applyFont="1" applyFill="1" applyBorder="1" applyAlignment="1" applyProtection="1">
      <alignment horizontal="left" vertical="top" wrapText="1"/>
    </xf>
    <xf numFmtId="0" fontId="35" fillId="0" borderId="32" xfId="14" applyFont="1" applyFill="1" applyAlignment="1" applyProtection="1">
      <alignment vertical="top" wrapText="1"/>
    </xf>
    <xf numFmtId="10" fontId="35" fillId="0" borderId="32" xfId="14" applyNumberFormat="1" applyFont="1" applyFill="1" applyAlignment="1" applyProtection="1">
      <alignment vertical="top" wrapText="1"/>
    </xf>
    <xf numFmtId="1" fontId="35" fillId="0" borderId="32" xfId="14" applyNumberFormat="1" applyFont="1" applyFill="1" applyAlignment="1" applyProtection="1">
      <alignment vertical="top" wrapText="1"/>
    </xf>
    <xf numFmtId="0" fontId="35" fillId="0" borderId="32" xfId="14" applyFont="1" applyFill="1" applyAlignment="1" applyProtection="1">
      <alignment horizontal="center" vertical="top" wrapText="1"/>
    </xf>
    <xf numFmtId="9" fontId="35" fillId="0" borderId="32" xfId="14" applyNumberFormat="1" applyFont="1" applyFill="1" applyAlignment="1" applyProtection="1">
      <alignment vertical="top" wrapText="1"/>
    </xf>
    <xf numFmtId="0" fontId="35" fillId="0" borderId="32" xfId="14" applyNumberFormat="1" applyFont="1" applyFill="1" applyAlignment="1" applyProtection="1">
      <alignment vertical="top" wrapText="1"/>
    </xf>
    <xf numFmtId="0" fontId="35" fillId="0" borderId="32" xfId="14" applyFont="1" applyFill="1" applyAlignment="1" applyProtection="1">
      <alignment wrapText="1"/>
    </xf>
    <xf numFmtId="0" fontId="35" fillId="0" borderId="47" xfId="15" applyFont="1" applyFill="1" applyAlignment="1" applyProtection="1">
      <alignment vertical="top" wrapText="1"/>
    </xf>
    <xf numFmtId="10" fontId="35" fillId="0" borderId="47" xfId="15" applyNumberFormat="1" applyFont="1" applyFill="1" applyAlignment="1" applyProtection="1">
      <alignment vertical="top" wrapText="1"/>
    </xf>
    <xf numFmtId="0" fontId="35" fillId="0" borderId="47" xfId="15" applyFont="1" applyFill="1" applyAlignment="1" applyProtection="1">
      <alignment horizontal="center" vertical="top" wrapText="1"/>
    </xf>
    <xf numFmtId="1" fontId="35" fillId="0" borderId="47" xfId="15" applyNumberFormat="1" applyFont="1" applyFill="1" applyAlignment="1" applyProtection="1">
      <alignment vertical="top" wrapText="1"/>
    </xf>
    <xf numFmtId="0" fontId="35" fillId="0" borderId="47" xfId="15" applyFont="1" applyFill="1" applyAlignment="1" applyProtection="1">
      <alignment wrapText="1"/>
    </xf>
    <xf numFmtId="0" fontId="35" fillId="0" borderId="47" xfId="15" applyNumberFormat="1" applyFont="1" applyFill="1" applyAlignment="1" applyProtection="1">
      <alignment vertical="top" wrapText="1"/>
    </xf>
    <xf numFmtId="0" fontId="35" fillId="0" borderId="0" xfId="0" applyFont="1" applyFill="1" applyAlignment="1" applyProtection="1">
      <alignment wrapText="1"/>
    </xf>
    <xf numFmtId="0" fontId="35" fillId="0" borderId="1" xfId="0" applyFont="1" applyFill="1" applyBorder="1" applyAlignment="1" applyProtection="1">
      <alignment vertical="top" wrapText="1"/>
    </xf>
    <xf numFmtId="10" fontId="35" fillId="0" borderId="1" xfId="2" applyNumberFormat="1" applyFont="1" applyFill="1" applyBorder="1" applyAlignment="1" applyProtection="1">
      <alignment vertical="top" wrapText="1"/>
    </xf>
    <xf numFmtId="0" fontId="35" fillId="0" borderId="1" xfId="2" applyNumberFormat="1" applyFont="1" applyFill="1" applyBorder="1" applyAlignment="1" applyProtection="1">
      <alignment vertical="top" wrapText="1"/>
    </xf>
    <xf numFmtId="0" fontId="35" fillId="0" borderId="1" xfId="0" applyFont="1" applyFill="1" applyBorder="1" applyAlignment="1" applyProtection="1">
      <alignment horizontal="center" vertical="top" wrapText="1"/>
    </xf>
    <xf numFmtId="0" fontId="35" fillId="0" borderId="0" xfId="0" applyFont="1" applyFill="1" applyBorder="1" applyAlignment="1" applyProtection="1">
      <alignment vertical="top" wrapText="1"/>
    </xf>
    <xf numFmtId="10" fontId="35" fillId="0" borderId="1" xfId="0" applyNumberFormat="1" applyFont="1" applyFill="1" applyBorder="1" applyAlignment="1" applyProtection="1">
      <alignment vertical="top" wrapText="1"/>
    </xf>
    <xf numFmtId="1" fontId="35" fillId="0" borderId="1" xfId="0" applyNumberFormat="1" applyFont="1" applyFill="1" applyBorder="1" applyAlignment="1" applyProtection="1">
      <alignment vertical="top" wrapText="1"/>
    </xf>
    <xf numFmtId="0" fontId="35" fillId="0" borderId="0" xfId="0" applyFont="1" applyFill="1" applyAlignment="1" applyProtection="1">
      <alignment vertical="top" wrapText="1"/>
    </xf>
    <xf numFmtId="0" fontId="35" fillId="0" borderId="32" xfId="14" applyFont="1" applyFill="1" applyAlignment="1" applyProtection="1">
      <alignment horizontal="left" vertical="top" wrapText="1"/>
    </xf>
    <xf numFmtId="1" fontId="35" fillId="0" borderId="1" xfId="2" applyNumberFormat="1" applyFont="1" applyFill="1" applyBorder="1" applyAlignment="1" applyProtection="1">
      <alignment vertical="top" wrapText="1"/>
    </xf>
    <xf numFmtId="49" fontId="35" fillId="0" borderId="32" xfId="14" applyNumberFormat="1" applyFont="1" applyFill="1" applyAlignment="1" applyProtection="1">
      <alignment vertical="top" wrapText="1"/>
    </xf>
    <xf numFmtId="0" fontId="25" fillId="0" borderId="0" xfId="3" applyFont="1" applyFill="1" applyBorder="1" applyAlignment="1" applyProtection="1">
      <alignment vertical="top" wrapText="1"/>
    </xf>
    <xf numFmtId="0" fontId="15" fillId="0" borderId="0" xfId="3" applyFont="1" applyFill="1" applyBorder="1" applyAlignment="1" applyProtection="1">
      <alignment vertical="top" wrapText="1"/>
    </xf>
    <xf numFmtId="0" fontId="27" fillId="8" borderId="1" xfId="3" applyFont="1" applyBorder="1" applyAlignment="1" applyProtection="1">
      <alignment vertical="top" wrapText="1"/>
      <protection locked="0"/>
    </xf>
    <xf numFmtId="0" fontId="15" fillId="8" borderId="1" xfId="3" applyFont="1" applyBorder="1" applyAlignment="1" applyProtection="1">
      <alignment vertical="top"/>
      <protection locked="0"/>
    </xf>
    <xf numFmtId="0" fontId="2" fillId="2" borderId="17" xfId="0" applyNumberFormat="1" applyFont="1" applyFill="1" applyBorder="1" applyAlignment="1" applyProtection="1">
      <alignment horizontal="center" vertical="center"/>
    </xf>
    <xf numFmtId="0" fontId="2" fillId="2" borderId="12" xfId="0" applyNumberFormat="1" applyFont="1" applyFill="1" applyBorder="1" applyAlignment="1" applyProtection="1">
      <alignment horizontal="center" vertical="center"/>
    </xf>
    <xf numFmtId="0" fontId="1" fillId="0" borderId="0" xfId="0" applyNumberFormat="1" applyFont="1" applyProtection="1">
      <protection locked="0"/>
    </xf>
    <xf numFmtId="0" fontId="0" fillId="0" borderId="0" xfId="0" applyNumberFormat="1" applyProtection="1">
      <protection locked="0"/>
    </xf>
    <xf numFmtId="0" fontId="0" fillId="0" borderId="0" xfId="0" applyNumberFormat="1" applyProtection="1"/>
    <xf numFmtId="0" fontId="0" fillId="0" borderId="0" xfId="0" applyNumberFormat="1" applyAlignment="1" applyProtection="1">
      <alignment horizontal="left" vertical="top" wrapText="1"/>
      <protection locked="0"/>
    </xf>
    <xf numFmtId="0" fontId="4" fillId="0" borderId="0" xfId="0" applyNumberFormat="1" applyFont="1" applyAlignment="1" applyProtection="1">
      <alignment horizontal="left" vertical="top"/>
      <protection locked="0"/>
    </xf>
    <xf numFmtId="0" fontId="4" fillId="0" borderId="0" xfId="0" applyNumberFormat="1" applyFont="1" applyAlignment="1" applyProtection="1">
      <alignment horizontal="left" vertical="top" wrapText="1"/>
    </xf>
    <xf numFmtId="0" fontId="2" fillId="2" borderId="1" xfId="0" applyNumberFormat="1" applyFont="1" applyFill="1" applyBorder="1" applyAlignment="1" applyProtection="1">
      <alignment horizontal="left" vertical="top" wrapText="1"/>
    </xf>
    <xf numFmtId="0" fontId="15" fillId="2" borderId="2" xfId="0" applyNumberFormat="1" applyFont="1" applyFill="1" applyBorder="1" applyAlignment="1" applyProtection="1">
      <alignment horizontal="left" vertical="top" wrapText="1"/>
    </xf>
    <xf numFmtId="0" fontId="33" fillId="2" borderId="1" xfId="0" applyNumberFormat="1" applyFont="1" applyFill="1" applyBorder="1" applyAlignment="1" applyProtection="1">
      <alignment horizontal="center" wrapText="1"/>
    </xf>
    <xf numFmtId="0" fontId="33" fillId="2" borderId="2" xfId="0" applyNumberFormat="1" applyFont="1" applyFill="1" applyBorder="1" applyAlignment="1" applyProtection="1">
      <alignment horizontal="center" wrapText="1"/>
    </xf>
    <xf numFmtId="0" fontId="15" fillId="2" borderId="1" xfId="0" applyNumberFormat="1" applyFont="1" applyFill="1" applyBorder="1" applyAlignment="1" applyProtection="1">
      <alignment horizontal="left" vertical="top" wrapText="1"/>
    </xf>
    <xf numFmtId="0" fontId="2" fillId="2" borderId="1" xfId="0" applyNumberFormat="1" applyFont="1" applyFill="1" applyBorder="1" applyAlignment="1" applyProtection="1">
      <alignment wrapText="1"/>
    </xf>
    <xf numFmtId="0" fontId="2" fillId="2" borderId="2" xfId="0" applyNumberFormat="1" applyFont="1" applyFill="1" applyBorder="1" applyAlignment="1" applyProtection="1">
      <alignment wrapText="1"/>
    </xf>
    <xf numFmtId="0" fontId="2" fillId="2" borderId="2" xfId="0" applyNumberFormat="1" applyFont="1" applyFill="1" applyBorder="1" applyAlignment="1" applyProtection="1">
      <alignment horizontal="left" vertical="top" wrapText="1"/>
    </xf>
    <xf numFmtId="0" fontId="2" fillId="2" borderId="1" xfId="0" applyNumberFormat="1" applyFont="1" applyFill="1" applyBorder="1" applyAlignment="1" applyProtection="1">
      <alignment horizontal="left" wrapText="1"/>
    </xf>
    <xf numFmtId="0" fontId="2" fillId="2" borderId="2" xfId="0" applyNumberFormat="1" applyFont="1" applyFill="1" applyBorder="1" applyAlignment="1" applyProtection="1">
      <alignment horizontal="left" wrapText="1"/>
    </xf>
    <xf numFmtId="0" fontId="2" fillId="2" borderId="15" xfId="0" applyNumberFormat="1" applyFont="1" applyFill="1" applyBorder="1" applyAlignment="1" applyProtection="1">
      <alignment horizontal="left" vertical="top" wrapText="1"/>
    </xf>
    <xf numFmtId="0" fontId="2" fillId="2" borderId="16" xfId="0" applyNumberFormat="1" applyFont="1" applyFill="1" applyBorder="1" applyAlignment="1" applyProtection="1">
      <alignment horizontal="left" vertical="top" wrapText="1"/>
    </xf>
    <xf numFmtId="0" fontId="0" fillId="0" borderId="0" xfId="0" applyNumberFormat="1" applyAlignment="1" applyProtection="1">
      <alignment horizontal="left" vertical="top"/>
    </xf>
    <xf numFmtId="2" fontId="51" fillId="3" borderId="69" xfId="0" applyNumberFormat="1" applyFont="1" applyFill="1" applyBorder="1" applyAlignment="1" applyProtection="1">
      <alignment horizontal="center" vertical="center"/>
      <protection hidden="1"/>
    </xf>
    <xf numFmtId="0" fontId="0" fillId="0" borderId="1" xfId="0" applyFont="1" applyBorder="1" applyAlignment="1" applyProtection="1">
      <alignment vertical="top" wrapText="1"/>
    </xf>
    <xf numFmtId="0" fontId="2" fillId="8" borderId="2" xfId="3" quotePrefix="1" applyFont="1" applyBorder="1" applyAlignment="1" applyProtection="1">
      <alignment vertical="top" wrapText="1"/>
      <protection locked="0"/>
    </xf>
    <xf numFmtId="0" fontId="12" fillId="5" borderId="12" xfId="0" applyNumberFormat="1" applyFont="1" applyFill="1" applyBorder="1" applyAlignment="1" applyProtection="1">
      <alignment horizontal="left" vertical="top" wrapText="1"/>
    </xf>
    <xf numFmtId="0" fontId="12" fillId="5" borderId="13" xfId="0" applyNumberFormat="1" applyFont="1" applyFill="1" applyBorder="1" applyAlignment="1" applyProtection="1">
      <alignment horizontal="left" vertical="top" wrapText="1"/>
    </xf>
    <xf numFmtId="0" fontId="12" fillId="5" borderId="7" xfId="0" applyNumberFormat="1" applyFont="1" applyFill="1" applyBorder="1" applyAlignment="1" applyProtection="1">
      <alignment horizontal="left" vertical="top" wrapText="1"/>
    </xf>
    <xf numFmtId="49" fontId="13" fillId="2" borderId="10" xfId="0" applyNumberFormat="1" applyFont="1" applyFill="1" applyBorder="1" applyAlignment="1" applyProtection="1">
      <alignment horizontal="left" vertical="center" wrapText="1"/>
    </xf>
    <xf numFmtId="0" fontId="13" fillId="2" borderId="10" xfId="0" applyNumberFormat="1" applyFont="1" applyFill="1" applyBorder="1" applyAlignment="1" applyProtection="1">
      <alignment horizontal="left" vertical="center" wrapText="1"/>
    </xf>
    <xf numFmtId="0" fontId="14" fillId="4" borderId="14" xfId="0" applyNumberFormat="1" applyFont="1" applyFill="1" applyBorder="1" applyAlignment="1" applyProtection="1">
      <alignment horizontal="center" vertical="center"/>
    </xf>
    <xf numFmtId="49" fontId="15" fillId="2" borderId="1" xfId="0" applyNumberFormat="1" applyFont="1" applyFill="1" applyBorder="1" applyAlignment="1" applyProtection="1">
      <alignment horizontal="right" vertical="top" wrapText="1"/>
    </xf>
    <xf numFmtId="49" fontId="15" fillId="2" borderId="1" xfId="0" applyNumberFormat="1" applyFont="1" applyFill="1" applyBorder="1" applyAlignment="1" applyProtection="1">
      <alignment horizontal="left" vertical="top" wrapText="1"/>
    </xf>
    <xf numFmtId="0" fontId="14" fillId="4" borderId="17" xfId="0" applyNumberFormat="1" applyFont="1" applyFill="1" applyBorder="1" applyAlignment="1" applyProtection="1">
      <alignment horizontal="center" vertical="center"/>
    </xf>
    <xf numFmtId="0" fontId="14" fillId="4" borderId="12" xfId="0" applyNumberFormat="1" applyFont="1" applyFill="1" applyBorder="1" applyAlignment="1" applyProtection="1">
      <alignment horizontal="center" vertical="center"/>
    </xf>
    <xf numFmtId="49" fontId="15" fillId="2" borderId="10" xfId="0" applyNumberFormat="1" applyFont="1" applyFill="1" applyBorder="1" applyAlignment="1" applyProtection="1">
      <alignment horizontal="left" vertical="center" wrapText="1"/>
    </xf>
    <xf numFmtId="0" fontId="14" fillId="4" borderId="12" xfId="0" applyNumberFormat="1" applyFont="1" applyFill="1" applyBorder="1" applyAlignment="1" applyProtection="1">
      <alignment horizontal="center"/>
    </xf>
    <xf numFmtId="0" fontId="15" fillId="0" borderId="1" xfId="0" applyNumberFormat="1" applyFont="1" applyFill="1" applyBorder="1" applyAlignment="1" applyProtection="1">
      <alignment horizontal="right" wrapText="1"/>
    </xf>
    <xf numFmtId="0" fontId="15" fillId="0" borderId="1" xfId="0" applyNumberFormat="1" applyFont="1" applyFill="1" applyBorder="1" applyAlignment="1" applyProtection="1">
      <alignment horizontal="left" wrapText="1"/>
    </xf>
    <xf numFmtId="0" fontId="15" fillId="2" borderId="1" xfId="0" applyNumberFormat="1" applyFont="1" applyFill="1" applyBorder="1" applyAlignment="1" applyProtection="1">
      <alignment horizontal="left" wrapText="1"/>
    </xf>
    <xf numFmtId="0" fontId="14" fillId="0" borderId="12" xfId="0" applyNumberFormat="1" applyFont="1" applyFill="1" applyBorder="1" applyAlignment="1" applyProtection="1">
      <alignment horizontal="center"/>
    </xf>
    <xf numFmtId="0" fontId="13" fillId="2" borderId="1" xfId="0" applyNumberFormat="1" applyFont="1" applyFill="1" applyBorder="1" applyAlignment="1" applyProtection="1">
      <alignment horizontal="left" vertical="center" wrapText="1"/>
    </xf>
    <xf numFmtId="49" fontId="15" fillId="2" borderId="1" xfId="0" applyNumberFormat="1" applyFont="1" applyFill="1" applyBorder="1" applyAlignment="1" applyProtection="1">
      <alignment horizontal="right" vertical="center" wrapText="1"/>
    </xf>
    <xf numFmtId="49" fontId="15" fillId="2" borderId="1" xfId="0" applyNumberFormat="1" applyFont="1" applyFill="1" applyBorder="1" applyAlignment="1" applyProtection="1">
      <alignment horizontal="left" vertical="center" wrapText="1"/>
    </xf>
    <xf numFmtId="0" fontId="14" fillId="2" borderId="12" xfId="0" applyNumberFormat="1" applyFont="1" applyFill="1" applyBorder="1" applyAlignment="1" applyProtection="1">
      <alignment horizontal="center"/>
    </xf>
    <xf numFmtId="0" fontId="15" fillId="2" borderId="1" xfId="0" applyNumberFormat="1" applyFont="1" applyFill="1" applyBorder="1" applyAlignment="1" applyProtection="1">
      <alignment horizontal="right" wrapText="1"/>
    </xf>
    <xf numFmtId="0" fontId="15" fillId="2" borderId="1" xfId="0" applyNumberFormat="1" applyFont="1" applyFill="1" applyBorder="1" applyAlignment="1" applyProtection="1">
      <alignment horizontal="right" vertical="center" wrapText="1"/>
    </xf>
    <xf numFmtId="0" fontId="15" fillId="2" borderId="1" xfId="0" applyNumberFormat="1" applyFont="1" applyFill="1" applyBorder="1" applyAlignment="1" applyProtection="1">
      <alignment horizontal="left" vertical="center" wrapText="1"/>
    </xf>
    <xf numFmtId="0" fontId="13" fillId="2" borderId="1" xfId="0" applyNumberFormat="1" applyFont="1" applyFill="1" applyBorder="1" applyAlignment="1" applyProtection="1">
      <alignment horizontal="left" wrapText="1"/>
    </xf>
    <xf numFmtId="0" fontId="13" fillId="2" borderId="10" xfId="0" applyNumberFormat="1" applyFont="1" applyFill="1" applyBorder="1" applyAlignment="1" applyProtection="1">
      <alignment horizontal="left" vertical="top" wrapText="1"/>
    </xf>
    <xf numFmtId="0" fontId="13" fillId="2" borderId="2" xfId="0" applyNumberFormat="1" applyFont="1" applyFill="1" applyBorder="1" applyAlignment="1" applyProtection="1">
      <alignment horizontal="left" vertical="top" wrapText="1"/>
    </xf>
    <xf numFmtId="0" fontId="14" fillId="4" borderId="14" xfId="0" applyNumberFormat="1" applyFont="1" applyFill="1" applyBorder="1" applyAlignment="1" applyProtection="1">
      <alignment horizontal="left" vertical="top" wrapText="1"/>
    </xf>
    <xf numFmtId="0" fontId="14" fillId="4" borderId="17" xfId="0" applyNumberFormat="1" applyFont="1" applyFill="1" applyBorder="1" applyAlignment="1" applyProtection="1">
      <alignment horizontal="left" vertical="top" wrapText="1"/>
    </xf>
    <xf numFmtId="0" fontId="14" fillId="4" borderId="12" xfId="0" applyNumberFormat="1" applyFont="1" applyFill="1" applyBorder="1" applyAlignment="1" applyProtection="1">
      <alignment horizontal="left" vertical="top" wrapText="1"/>
    </xf>
    <xf numFmtId="0" fontId="14" fillId="4" borderId="14" xfId="0" applyNumberFormat="1" applyFont="1" applyFill="1" applyBorder="1" applyAlignment="1" applyProtection="1">
      <alignment horizontal="left" vertical="top"/>
    </xf>
    <xf numFmtId="0" fontId="14" fillId="4" borderId="12" xfId="0" applyNumberFormat="1" applyFont="1" applyFill="1" applyBorder="1" applyAlignment="1" applyProtection="1">
      <alignment horizontal="left" vertical="top"/>
    </xf>
    <xf numFmtId="0" fontId="14" fillId="4" borderId="17" xfId="0" applyNumberFormat="1" applyFont="1" applyFill="1" applyBorder="1" applyAlignment="1" applyProtection="1">
      <alignment horizontal="left" vertical="top"/>
    </xf>
    <xf numFmtId="0" fontId="13" fillId="2" borderId="14" xfId="0" applyNumberFormat="1" applyFont="1" applyFill="1" applyBorder="1" applyAlignment="1" applyProtection="1">
      <alignment horizontal="left" vertical="top" wrapText="1"/>
    </xf>
    <xf numFmtId="0" fontId="13" fillId="2" borderId="16" xfId="0" applyNumberFormat="1" applyFont="1" applyFill="1" applyBorder="1" applyAlignment="1" applyProtection="1">
      <alignment horizontal="left" vertical="top" wrapText="1"/>
    </xf>
    <xf numFmtId="0" fontId="15" fillId="0" borderId="6" xfId="0" applyNumberFormat="1" applyFont="1" applyFill="1" applyBorder="1" applyAlignment="1" applyProtection="1">
      <alignment horizontal="left" vertical="top" wrapText="1"/>
    </xf>
    <xf numFmtId="0" fontId="15" fillId="2" borderId="7" xfId="0" applyNumberFormat="1" applyFont="1" applyFill="1" applyBorder="1" applyAlignment="1" applyProtection="1">
      <alignment horizontal="left" vertical="top" wrapText="1"/>
    </xf>
    <xf numFmtId="0" fontId="15" fillId="0" borderId="4" xfId="0" applyNumberFormat="1" applyFont="1" applyFill="1" applyBorder="1" applyAlignment="1" applyProtection="1">
      <alignment horizontal="left" vertical="top" wrapText="1"/>
    </xf>
    <xf numFmtId="0" fontId="15" fillId="0" borderId="9" xfId="0" applyNumberFormat="1" applyFont="1" applyFill="1" applyBorder="1" applyAlignment="1" applyProtection="1">
      <alignment horizontal="left" vertical="top" wrapText="1"/>
    </xf>
    <xf numFmtId="0" fontId="15" fillId="2" borderId="8" xfId="0" applyNumberFormat="1" applyFont="1" applyFill="1" applyBorder="1" applyAlignment="1" applyProtection="1">
      <alignment horizontal="left" vertical="top" wrapText="1"/>
    </xf>
    <xf numFmtId="2" fontId="45" fillId="21" borderId="11" xfId="0" applyNumberFormat="1" applyFont="1" applyFill="1" applyBorder="1" applyAlignment="1" applyProtection="1">
      <alignment horizontal="center" vertical="center"/>
    </xf>
    <xf numFmtId="49" fontId="46" fillId="21" borderId="67" xfId="0" applyNumberFormat="1" applyFont="1" applyFill="1" applyBorder="1" applyAlignment="1" applyProtection="1">
      <alignment horizontal="left" vertical="center" wrapText="1"/>
    </xf>
    <xf numFmtId="49" fontId="46" fillId="21" borderId="40" xfId="0" applyNumberFormat="1" applyFont="1" applyFill="1" applyBorder="1" applyAlignment="1" applyProtection="1">
      <alignment horizontal="left" vertical="center" wrapText="1"/>
    </xf>
    <xf numFmtId="49" fontId="46" fillId="21" borderId="68" xfId="0" applyNumberFormat="1" applyFont="1" applyFill="1" applyBorder="1" applyAlignment="1" applyProtection="1">
      <alignment horizontal="left" vertical="center" wrapText="1"/>
    </xf>
    <xf numFmtId="2" fontId="45" fillId="21" borderId="69" xfId="0" applyNumberFormat="1" applyFont="1" applyFill="1" applyBorder="1" applyAlignment="1" applyProtection="1">
      <alignment horizontal="center" vertical="center"/>
    </xf>
    <xf numFmtId="2" fontId="45" fillId="21" borderId="39" xfId="0" applyNumberFormat="1" applyFont="1" applyFill="1" applyBorder="1" applyAlignment="1" applyProtection="1">
      <alignment horizontal="center" vertical="center"/>
    </xf>
    <xf numFmtId="2" fontId="45" fillId="21" borderId="40" xfId="0" applyNumberFormat="1" applyFont="1" applyFill="1" applyBorder="1" applyAlignment="1" applyProtection="1">
      <alignment horizontal="center" vertical="center"/>
    </xf>
    <xf numFmtId="2" fontId="45" fillId="21" borderId="62" xfId="0" applyNumberFormat="1" applyFont="1" applyFill="1" applyBorder="1" applyAlignment="1" applyProtection="1">
      <alignment horizontal="center" vertical="center"/>
    </xf>
    <xf numFmtId="2" fontId="45" fillId="7" borderId="4"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7" borderId="57" xfId="0" applyNumberFormat="1" applyFont="1" applyFill="1" applyBorder="1" applyAlignment="1" applyProtection="1">
      <alignment horizontal="center" vertical="center"/>
    </xf>
    <xf numFmtId="166" fontId="45" fillId="29" borderId="40" xfId="0" applyNumberFormat="1" applyFont="1" applyFill="1" applyBorder="1" applyAlignment="1" applyProtection="1">
      <alignment horizontal="center" vertical="center"/>
    </xf>
    <xf numFmtId="2" fontId="50" fillId="21" borderId="57" xfId="0" applyNumberFormat="1" applyFont="1" applyFill="1" applyBorder="1" applyAlignment="1" applyProtection="1">
      <alignment horizontal="center" vertical="center"/>
    </xf>
    <xf numFmtId="2" fontId="45" fillId="21" borderId="11" xfId="0" applyNumberFormat="1" applyFont="1" applyFill="1" applyBorder="1" applyAlignment="1" applyProtection="1">
      <alignment horizontal="center"/>
    </xf>
    <xf numFmtId="2" fontId="45" fillId="21" borderId="62" xfId="0" applyNumberFormat="1" applyFont="1" applyFill="1" applyBorder="1" applyAlignment="1" applyProtection="1">
      <alignment horizontal="center"/>
    </xf>
    <xf numFmtId="10" fontId="1" fillId="0" borderId="2" xfId="2" applyNumberFormat="1" applyFont="1" applyBorder="1" applyAlignment="1" applyProtection="1">
      <alignment vertical="top" wrapText="1"/>
    </xf>
    <xf numFmtId="10" fontId="1" fillId="0" borderId="10" xfId="2" applyNumberFormat="1" applyFont="1" applyBorder="1" applyAlignment="1" applyProtection="1">
      <alignment vertical="top" wrapText="1"/>
    </xf>
    <xf numFmtId="0" fontId="0" fillId="0" borderId="0" xfId="0" applyFont="1" applyAlignment="1" applyProtection="1">
      <alignment vertical="top" wrapText="1"/>
    </xf>
    <xf numFmtId="0" fontId="0" fillId="0" borderId="0" xfId="0" applyFont="1" applyAlignment="1" applyProtection="1">
      <alignment wrapText="1"/>
    </xf>
    <xf numFmtId="0" fontId="0" fillId="0" borderId="1" xfId="0" applyFont="1" applyBorder="1" applyAlignment="1" applyProtection="1">
      <alignment horizontal="center" vertical="top" wrapText="1"/>
    </xf>
    <xf numFmtId="0" fontId="0" fillId="0" borderId="0" xfId="0" applyFont="1" applyBorder="1" applyAlignment="1" applyProtection="1">
      <alignment vertical="top" wrapText="1"/>
    </xf>
    <xf numFmtId="10" fontId="0" fillId="0" borderId="1" xfId="0" applyNumberFormat="1" applyFont="1" applyBorder="1" applyAlignment="1" applyProtection="1">
      <alignment vertical="top" wrapText="1"/>
    </xf>
    <xf numFmtId="1" fontId="0" fillId="0" borderId="1" xfId="0" applyNumberFormat="1" applyFont="1" applyBorder="1" applyAlignment="1" applyProtection="1">
      <alignment vertical="top" wrapText="1"/>
    </xf>
    <xf numFmtId="0" fontId="0" fillId="2" borderId="1" xfId="0" applyFont="1" applyFill="1" applyBorder="1" applyAlignment="1" applyProtection="1">
      <alignment vertical="top" wrapText="1"/>
    </xf>
    <xf numFmtId="0" fontId="0" fillId="7" borderId="1" xfId="0" applyFont="1" applyFill="1" applyBorder="1" applyAlignment="1" applyProtection="1">
      <alignment vertical="top" wrapText="1"/>
    </xf>
    <xf numFmtId="0" fontId="0" fillId="0" borderId="0" xfId="0" applyFont="1" applyAlignment="1" applyProtection="1">
      <alignment horizontal="center" vertical="top" wrapText="1"/>
    </xf>
    <xf numFmtId="9" fontId="1" fillId="0" borderId="1" xfId="2" applyFont="1" applyBorder="1" applyAlignment="1" applyProtection="1">
      <alignment vertical="top" wrapText="1"/>
    </xf>
    <xf numFmtId="9" fontId="1" fillId="0" borderId="2" xfId="2" applyFont="1" applyBorder="1" applyAlignment="1" applyProtection="1">
      <alignment vertical="top" wrapText="1"/>
    </xf>
    <xf numFmtId="9" fontId="1" fillId="0" borderId="11" xfId="2" applyFont="1" applyBorder="1" applyAlignment="1" applyProtection="1">
      <alignment vertical="top" wrapText="1"/>
    </xf>
    <xf numFmtId="9" fontId="35" fillId="0" borderId="1" xfId="2" applyFont="1" applyFill="1" applyBorder="1" applyAlignment="1" applyProtection="1">
      <alignment vertical="top" wrapText="1"/>
    </xf>
    <xf numFmtId="9" fontId="35" fillId="0" borderId="2" xfId="2" applyFont="1" applyFill="1" applyBorder="1" applyAlignment="1" applyProtection="1">
      <alignment vertical="top" wrapText="1"/>
    </xf>
    <xf numFmtId="9" fontId="35" fillId="0" borderId="11" xfId="2" applyFont="1" applyFill="1" applyBorder="1" applyAlignment="1" applyProtection="1">
      <alignment vertical="top" wrapText="1"/>
    </xf>
    <xf numFmtId="9" fontId="35" fillId="0" borderId="47" xfId="15" applyNumberFormat="1" applyFont="1" applyFill="1" applyAlignment="1" applyProtection="1">
      <alignment vertical="top" wrapText="1"/>
    </xf>
    <xf numFmtId="0" fontId="61" fillId="0" borderId="47" xfId="15" applyFont="1" applyFill="1" applyAlignment="1" applyProtection="1">
      <alignment vertical="top" wrapText="1"/>
    </xf>
    <xf numFmtId="9" fontId="0" fillId="0" borderId="1" xfId="2" applyFont="1" applyBorder="1" applyAlignment="1" applyProtection="1">
      <alignment vertical="top" wrapText="1"/>
    </xf>
    <xf numFmtId="9" fontId="0" fillId="0" borderId="2" xfId="2" applyFont="1" applyBorder="1" applyAlignment="1" applyProtection="1">
      <alignment vertical="top" wrapText="1"/>
    </xf>
    <xf numFmtId="9" fontId="0" fillId="0" borderId="11" xfId="2" applyFont="1" applyBorder="1" applyAlignment="1" applyProtection="1">
      <alignment vertical="top" wrapText="1"/>
    </xf>
    <xf numFmtId="1" fontId="0" fillId="0" borderId="2" xfId="2" applyNumberFormat="1" applyFont="1" applyBorder="1" applyAlignment="1" applyProtection="1">
      <alignment vertical="top" wrapText="1"/>
    </xf>
    <xf numFmtId="1" fontId="0" fillId="0" borderId="11" xfId="2" applyNumberFormat="1" applyFont="1" applyBorder="1" applyAlignment="1" applyProtection="1">
      <alignment vertical="top" wrapText="1"/>
    </xf>
    <xf numFmtId="0" fontId="1" fillId="0" borderId="1" xfId="0" applyFont="1" applyFill="1" applyBorder="1" applyAlignment="1" applyProtection="1">
      <alignment vertical="top" wrapText="1"/>
    </xf>
    <xf numFmtId="0" fontId="1" fillId="0" borderId="1" xfId="0" applyFont="1" applyBorder="1" applyAlignment="1" applyProtection="1">
      <alignment vertical="top"/>
    </xf>
    <xf numFmtId="0" fontId="0" fillId="7" borderId="1" xfId="0" applyFont="1" applyFill="1" applyBorder="1" applyAlignment="1" applyProtection="1">
      <alignment horizontal="left" vertical="top" wrapText="1"/>
    </xf>
    <xf numFmtId="0" fontId="60" fillId="0" borderId="1" xfId="0" applyFont="1" applyBorder="1" applyAlignment="1" applyProtection="1">
      <alignment vertical="top" wrapText="1"/>
    </xf>
    <xf numFmtId="9" fontId="60" fillId="0" borderId="1" xfId="2" applyFont="1" applyBorder="1" applyAlignment="1" applyProtection="1">
      <alignment vertical="top" wrapText="1"/>
    </xf>
    <xf numFmtId="9" fontId="60" fillId="0" borderId="2" xfId="2" applyFont="1" applyBorder="1" applyAlignment="1" applyProtection="1">
      <alignment vertical="top" wrapText="1"/>
    </xf>
    <xf numFmtId="9" fontId="60" fillId="0" borderId="11" xfId="2" applyFont="1" applyBorder="1" applyAlignment="1" applyProtection="1">
      <alignment vertical="top" wrapText="1"/>
    </xf>
    <xf numFmtId="0" fontId="0" fillId="7" borderId="1" xfId="0" quotePrefix="1" applyFont="1" applyFill="1" applyBorder="1" applyAlignment="1" applyProtection="1">
      <alignment vertical="top" wrapText="1"/>
    </xf>
    <xf numFmtId="9" fontId="0" fillId="7" borderId="1" xfId="2" applyFont="1" applyFill="1" applyBorder="1" applyAlignment="1" applyProtection="1">
      <alignment vertical="top" wrapText="1"/>
    </xf>
    <xf numFmtId="9" fontId="0" fillId="7" borderId="2" xfId="2" applyFont="1" applyFill="1" applyBorder="1" applyAlignment="1" applyProtection="1">
      <alignment vertical="top" wrapText="1"/>
    </xf>
    <xf numFmtId="9" fontId="0" fillId="7" borderId="11" xfId="2" applyFont="1" applyFill="1" applyBorder="1" applyAlignment="1" applyProtection="1">
      <alignment vertical="top" wrapText="1"/>
    </xf>
    <xf numFmtId="0" fontId="60" fillId="7" borderId="1" xfId="0" applyFont="1" applyFill="1" applyBorder="1" applyAlignment="1" applyProtection="1">
      <alignment vertical="top" wrapText="1"/>
    </xf>
    <xf numFmtId="9" fontId="0" fillId="0" borderId="0" xfId="2" applyFont="1" applyAlignment="1" applyProtection="1">
      <alignment vertical="top" wrapText="1"/>
    </xf>
    <xf numFmtId="0" fontId="35" fillId="2" borderId="32" xfId="14" applyFont="1" applyFill="1" applyAlignment="1" applyProtection="1">
      <alignment vertical="top" wrapText="1"/>
    </xf>
    <xf numFmtId="0" fontId="63" fillId="0" borderId="32" xfId="14" applyFont="1" applyFill="1" applyAlignment="1" applyProtection="1">
      <alignment vertical="top" wrapText="1"/>
    </xf>
    <xf numFmtId="0" fontId="64" fillId="0" borderId="32" xfId="14" applyFont="1" applyFill="1" applyAlignment="1" applyProtection="1">
      <alignment vertical="top" wrapText="1"/>
    </xf>
    <xf numFmtId="0" fontId="64" fillId="2" borderId="1" xfId="0" applyFont="1" applyFill="1" applyBorder="1" applyAlignment="1" applyProtection="1">
      <alignment vertical="top" wrapText="1"/>
    </xf>
    <xf numFmtId="0" fontId="66" fillId="0" borderId="32" xfId="14" applyFont="1" applyFill="1" applyAlignment="1" applyProtection="1">
      <alignment vertical="top" wrapText="1"/>
    </xf>
    <xf numFmtId="0" fontId="67" fillId="0" borderId="32" xfId="14" applyFont="1" applyFill="1" applyAlignment="1" applyProtection="1">
      <alignment vertical="top" wrapText="1"/>
    </xf>
    <xf numFmtId="0" fontId="1" fillId="2" borderId="1" xfId="0" applyFont="1" applyFill="1" applyBorder="1" applyAlignment="1" applyProtection="1">
      <alignment vertical="top" wrapText="1"/>
    </xf>
    <xf numFmtId="1" fontId="35" fillId="6" borderId="32" xfId="14" applyNumberFormat="1" applyFont="1" applyFill="1" applyAlignment="1" applyProtection="1">
      <alignment vertical="top" wrapText="1"/>
    </xf>
    <xf numFmtId="0" fontId="18" fillId="0" borderId="32" xfId="14" applyFont="1" applyFill="1" applyAlignment="1" applyProtection="1">
      <alignment vertical="top" wrapText="1"/>
    </xf>
    <xf numFmtId="0" fontId="0" fillId="0" borderId="32" xfId="14" applyFont="1" applyFill="1" applyAlignment="1" applyProtection="1">
      <alignment vertical="top" wrapText="1"/>
    </xf>
    <xf numFmtId="164" fontId="35" fillId="0" borderId="32" xfId="14" applyNumberFormat="1" applyFont="1" applyFill="1" applyAlignment="1" applyProtection="1">
      <alignment vertical="top" wrapText="1"/>
    </xf>
    <xf numFmtId="0" fontId="18" fillId="0" borderId="32" xfId="14" applyFont="1" applyFill="1" applyAlignment="1" applyProtection="1">
      <alignment horizontal="left" vertical="top" wrapText="1"/>
    </xf>
    <xf numFmtId="0" fontId="35" fillId="0" borderId="1" xfId="0" applyFont="1" applyBorder="1" applyAlignment="1" applyProtection="1">
      <alignment vertical="top" wrapText="1"/>
    </xf>
    <xf numFmtId="0" fontId="0" fillId="0" borderId="32" xfId="14" applyFont="1" applyFill="1" applyAlignment="1" applyProtection="1">
      <alignment horizontal="left" vertical="top" wrapText="1"/>
    </xf>
    <xf numFmtId="0" fontId="0" fillId="0" borderId="0" xfId="0" applyFont="1" applyFill="1" applyAlignment="1" applyProtection="1">
      <alignment vertical="top" wrapText="1"/>
    </xf>
    <xf numFmtId="0" fontId="4" fillId="0" borderId="0" xfId="0" applyFont="1" applyAlignment="1" applyProtection="1">
      <alignment horizontal="left"/>
    </xf>
    <xf numFmtId="0" fontId="4" fillId="0" borderId="0" xfId="0" applyFont="1" applyAlignment="1" applyProtection="1">
      <alignment horizontal="left" wrapText="1"/>
    </xf>
    <xf numFmtId="0" fontId="0" fillId="0" borderId="0" xfId="0" applyAlignment="1" applyProtection="1">
      <alignment horizontal="left" vertical="top" wrapText="1"/>
    </xf>
    <xf numFmtId="0" fontId="4" fillId="0" borderId="0" xfId="0" applyFont="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vertical="top" wrapText="1"/>
    </xf>
    <xf numFmtId="0" fontId="2" fillId="0" borderId="1" xfId="0" applyFont="1" applyBorder="1" applyAlignment="1" applyProtection="1">
      <alignment vertical="top" wrapText="1"/>
    </xf>
    <xf numFmtId="0" fontId="2" fillId="0" borderId="1" xfId="0" applyFont="1" applyBorder="1" applyAlignment="1" applyProtection="1">
      <alignment vertical="top"/>
    </xf>
    <xf numFmtId="0" fontId="27" fillId="8" borderId="1" xfId="3" applyFont="1" applyBorder="1" applyAlignment="1" applyProtection="1">
      <alignment vertical="top" wrapText="1"/>
      <protection locked="0"/>
    </xf>
    <xf numFmtId="0" fontId="2" fillId="0" borderId="15" xfId="0" applyFont="1" applyBorder="1" applyAlignment="1" applyProtection="1">
      <alignment vertical="top"/>
    </xf>
    <xf numFmtId="0" fontId="2" fillId="0" borderId="2" xfId="0" applyFont="1" applyBorder="1" applyAlignment="1" applyProtection="1">
      <alignment vertical="top" wrapText="1"/>
    </xf>
    <xf numFmtId="0" fontId="2" fillId="0" borderId="10" xfId="0" applyFont="1" applyBorder="1" applyAlignment="1" applyProtection="1">
      <alignment vertical="top" wrapText="1"/>
    </xf>
    <xf numFmtId="0" fontId="29" fillId="11" borderId="32" xfId="6" applyFont="1" applyBorder="1" applyAlignment="1" applyProtection="1">
      <alignment vertical="top" wrapText="1"/>
      <protection locked="0"/>
    </xf>
    <xf numFmtId="0" fontId="0" fillId="0" borderId="0" xfId="0" applyAlignment="1" applyProtection="1"/>
    <xf numFmtId="0" fontId="3" fillId="0" borderId="0" xfId="0" applyFont="1" applyAlignment="1" applyProtection="1">
      <alignment horizontal="left" vertical="top" wrapText="1"/>
    </xf>
    <xf numFmtId="0" fontId="3" fillId="0" borderId="2" xfId="0" applyFont="1" applyBorder="1" applyAlignment="1" applyProtection="1">
      <alignment vertical="top" wrapText="1"/>
    </xf>
    <xf numFmtId="0" fontId="3" fillId="0" borderId="10" xfId="0" applyFont="1" applyBorder="1" applyAlignment="1" applyProtection="1">
      <alignment vertical="top" wrapText="1"/>
    </xf>
    <xf numFmtId="0" fontId="27" fillId="8" borderId="33" xfId="3" applyFont="1" applyBorder="1" applyAlignment="1" applyProtection="1">
      <alignment vertical="top" wrapText="1"/>
      <protection locked="0"/>
    </xf>
    <xf numFmtId="0" fontId="27" fillId="8" borderId="34" xfId="3" applyFont="1" applyBorder="1" applyAlignment="1" applyProtection="1">
      <alignment vertical="top" wrapText="1"/>
      <protection locked="0"/>
    </xf>
    <xf numFmtId="0" fontId="2" fillId="0" borderId="39" xfId="0" applyFont="1" applyBorder="1" applyAlignment="1" applyProtection="1">
      <alignment horizontal="left" vertical="top" wrapText="1"/>
    </xf>
    <xf numFmtId="0" fontId="2" fillId="0" borderId="0" xfId="0" applyFont="1" applyAlignment="1" applyProtection="1">
      <alignment horizontal="left" vertical="top" wrapText="1"/>
    </xf>
    <xf numFmtId="0" fontId="6" fillId="0" borderId="0" xfId="0" applyFont="1" applyAlignment="1" applyProtection="1">
      <alignment horizontal="left" vertical="top" wrapText="1"/>
    </xf>
    <xf numFmtId="0" fontId="38" fillId="0" borderId="1" xfId="4" applyFont="1" applyFill="1" applyBorder="1" applyAlignment="1" applyProtection="1">
      <alignment horizontal="left" vertical="top" wrapText="1"/>
    </xf>
    <xf numFmtId="0" fontId="38" fillId="0" borderId="15" xfId="4" quotePrefix="1" applyFont="1" applyFill="1" applyBorder="1" applyAlignment="1" applyProtection="1">
      <alignment vertical="top" wrapText="1"/>
    </xf>
    <xf numFmtId="0" fontId="38" fillId="0" borderId="45" xfId="4" quotePrefix="1" applyFont="1" applyFill="1" applyBorder="1" applyAlignment="1" applyProtection="1">
      <alignment vertical="top" wrapText="1"/>
    </xf>
    <xf numFmtId="0" fontId="38" fillId="0" borderId="13" xfId="4" quotePrefix="1" applyFont="1" applyFill="1" applyBorder="1" applyAlignment="1" applyProtection="1">
      <alignment vertical="top" wrapText="1"/>
    </xf>
    <xf numFmtId="0" fontId="38" fillId="0" borderId="15" xfId="4" quotePrefix="1" applyFont="1" applyFill="1" applyBorder="1" applyAlignment="1" applyProtection="1">
      <alignment horizontal="center" vertical="center" textRotation="90" wrapText="1"/>
    </xf>
    <xf numFmtId="0" fontId="38" fillId="0" borderId="45" xfId="4" quotePrefix="1" applyFont="1" applyFill="1" applyBorder="1" applyAlignment="1" applyProtection="1">
      <alignment horizontal="center" vertical="center" textRotation="90" wrapText="1"/>
    </xf>
    <xf numFmtId="0" fontId="38" fillId="0" borderId="13" xfId="4" quotePrefix="1" applyFont="1" applyFill="1" applyBorder="1" applyAlignment="1" applyProtection="1">
      <alignment horizontal="center" vertical="center" textRotation="90" wrapText="1"/>
    </xf>
    <xf numFmtId="0" fontId="38" fillId="0" borderId="1" xfId="0" quotePrefix="1" applyFont="1" applyFill="1" applyBorder="1" applyAlignment="1" applyProtection="1">
      <alignment horizontal="center" vertical="center" textRotation="90" wrapText="1"/>
    </xf>
    <xf numFmtId="0" fontId="38" fillId="0" borderId="1" xfId="4" quotePrefix="1" applyFont="1" applyFill="1" applyBorder="1" applyAlignment="1" applyProtection="1">
      <alignment vertical="top" wrapText="1"/>
    </xf>
    <xf numFmtId="0" fontId="38" fillId="0" borderId="1" xfId="5" quotePrefix="1" applyFont="1" applyFill="1" applyBorder="1" applyAlignment="1" applyProtection="1">
      <alignment horizontal="center" vertical="center" textRotation="90" wrapText="1"/>
    </xf>
    <xf numFmtId="0" fontId="38" fillId="0" borderId="15" xfId="4" applyFont="1" applyFill="1" applyBorder="1" applyAlignment="1" applyProtection="1">
      <alignment horizontal="left" vertical="top" wrapText="1"/>
    </xf>
    <xf numFmtId="0" fontId="38" fillId="0" borderId="45" xfId="4" applyFont="1" applyFill="1" applyBorder="1" applyAlignment="1" applyProtection="1">
      <alignment horizontal="left" vertical="top" wrapText="1"/>
    </xf>
    <xf numFmtId="0" fontId="38" fillId="0" borderId="13" xfId="4" applyFont="1" applyFill="1" applyBorder="1" applyAlignment="1" applyProtection="1">
      <alignment horizontal="left" vertical="top" wrapText="1"/>
    </xf>
    <xf numFmtId="0" fontId="35" fillId="0" borderId="39" xfId="0" applyNumberFormat="1" applyFont="1" applyFill="1" applyBorder="1" applyAlignment="1" applyProtection="1">
      <alignment wrapText="1"/>
    </xf>
    <xf numFmtId="0" fontId="38" fillId="0" borderId="1" xfId="4" quotePrefix="1" applyFont="1" applyFill="1" applyBorder="1" applyAlignment="1" applyProtection="1">
      <alignment horizontal="center" vertical="center" textRotation="90" wrapText="1"/>
    </xf>
    <xf numFmtId="0" fontId="38" fillId="0" borderId="1" xfId="4" quotePrefix="1" applyFont="1" applyFill="1" applyBorder="1" applyAlignment="1" applyProtection="1">
      <alignment horizontal="left" vertical="top" wrapText="1"/>
    </xf>
    <xf numFmtId="0" fontId="3" fillId="0" borderId="0" xfId="0" applyFont="1" applyAlignment="1" applyProtection="1">
      <alignment vertical="top"/>
    </xf>
    <xf numFmtId="0" fontId="3" fillId="0" borderId="0" xfId="0" applyFont="1" applyAlignment="1" applyProtection="1">
      <alignment horizontal="left" vertical="top"/>
    </xf>
    <xf numFmtId="0" fontId="0" fillId="0" borderId="0" xfId="0" applyBorder="1" applyAlignment="1">
      <alignment wrapText="1"/>
    </xf>
    <xf numFmtId="0" fontId="0" fillId="0" borderId="0" xfId="0" applyAlignment="1">
      <alignment wrapText="1"/>
    </xf>
    <xf numFmtId="0" fontId="0" fillId="0" borderId="0" xfId="0" applyBorder="1" applyAlignment="1">
      <alignment vertical="top" wrapText="1"/>
    </xf>
    <xf numFmtId="0" fontId="0" fillId="0" borderId="0" xfId="0" applyNumberFormat="1" applyAlignment="1" applyProtection="1">
      <alignment horizontal="left" vertical="top" wrapText="1"/>
      <protection locked="0"/>
    </xf>
    <xf numFmtId="0" fontId="4" fillId="0" borderId="0" xfId="0" applyNumberFormat="1" applyFont="1" applyAlignment="1" applyProtection="1">
      <alignment horizontal="left" vertical="top"/>
      <protection locked="0"/>
    </xf>
    <xf numFmtId="0" fontId="14" fillId="3" borderId="5" xfId="0" applyNumberFormat="1" applyFont="1" applyFill="1" applyBorder="1" applyAlignment="1" applyProtection="1">
      <alignment horizontal="left" vertical="top"/>
    </xf>
    <xf numFmtId="0" fontId="14" fillId="3" borderId="3" xfId="0" applyNumberFormat="1" applyFont="1" applyFill="1" applyBorder="1" applyAlignment="1" applyProtection="1">
      <alignment horizontal="left" vertical="top"/>
    </xf>
    <xf numFmtId="0" fontId="40" fillId="0" borderId="0" xfId="0" applyNumberFormat="1" applyFont="1" applyAlignment="1" applyProtection="1">
      <alignment horizontal="left" vertical="top" wrapText="1"/>
      <protection locked="0"/>
    </xf>
    <xf numFmtId="0" fontId="4" fillId="0" borderId="0" xfId="0" applyNumberFormat="1" applyFont="1" applyAlignment="1" applyProtection="1"/>
    <xf numFmtId="10" fontId="1" fillId="0" borderId="2" xfId="2" applyNumberFormat="1" applyFont="1" applyBorder="1" applyAlignment="1" applyProtection="1">
      <alignment vertical="top" wrapText="1"/>
    </xf>
    <xf numFmtId="10" fontId="1" fillId="0" borderId="10" xfId="2" applyNumberFormat="1" applyFont="1" applyBorder="1" applyAlignment="1" applyProtection="1">
      <alignment vertical="top" wrapText="1"/>
    </xf>
    <xf numFmtId="49" fontId="46" fillId="21" borderId="4" xfId="0" applyNumberFormat="1" applyFont="1" applyFill="1" applyBorder="1" applyAlignment="1" applyProtection="1">
      <alignment horizontal="left" vertical="center" wrapText="1"/>
    </xf>
    <xf numFmtId="49" fontId="46" fillId="21" borderId="11" xfId="0" applyNumberFormat="1" applyFont="1" applyFill="1" applyBorder="1" applyAlignment="1" applyProtection="1">
      <alignment horizontal="left" vertical="center" wrapText="1"/>
    </xf>
    <xf numFmtId="49" fontId="46" fillId="21" borderId="74" xfId="0" applyNumberFormat="1" applyFont="1" applyFill="1" applyBorder="1" applyAlignment="1" applyProtection="1">
      <alignment horizontal="left" vertical="center" wrapText="1"/>
    </xf>
    <xf numFmtId="0" fontId="45" fillId="1" borderId="2" xfId="0" applyFont="1" applyFill="1" applyBorder="1" applyAlignment="1" applyProtection="1">
      <alignment horizontal="center" vertical="center"/>
      <protection hidden="1"/>
    </xf>
    <xf numFmtId="0" fontId="45" fillId="1" borderId="11" xfId="0" applyFont="1" applyFill="1" applyBorder="1" applyAlignment="1" applyProtection="1">
      <alignment horizontal="center" vertical="center"/>
      <protection hidden="1"/>
    </xf>
    <xf numFmtId="0" fontId="45" fillId="1" borderId="10" xfId="0" applyFont="1" applyFill="1" applyBorder="1" applyAlignment="1" applyProtection="1">
      <alignment horizontal="center" vertical="center"/>
      <protection hidden="1"/>
    </xf>
    <xf numFmtId="0" fontId="45" fillId="0" borderId="2" xfId="0" applyFont="1" applyBorder="1" applyAlignment="1" applyProtection="1">
      <alignment horizontal="center" vertical="center"/>
      <protection hidden="1"/>
    </xf>
    <xf numFmtId="0" fontId="45" fillId="0" borderId="11" xfId="0" applyFont="1" applyBorder="1" applyAlignment="1" applyProtection="1">
      <alignment horizontal="center" vertical="center"/>
      <protection hidden="1"/>
    </xf>
    <xf numFmtId="0" fontId="45" fillId="0" borderId="10" xfId="0" applyFont="1" applyBorder="1" applyAlignment="1" applyProtection="1">
      <alignment horizontal="center" vertical="center"/>
      <protection hidden="1"/>
    </xf>
    <xf numFmtId="49" fontId="46" fillId="21" borderId="59" xfId="0" applyNumberFormat="1" applyFont="1" applyFill="1" applyBorder="1" applyAlignment="1" applyProtection="1">
      <alignment horizontal="left" vertical="center" wrapText="1"/>
    </xf>
    <xf numFmtId="49" fontId="46" fillId="21" borderId="65" xfId="0" applyNumberFormat="1" applyFont="1" applyFill="1" applyBorder="1" applyAlignment="1" applyProtection="1">
      <alignment horizontal="left" vertical="center" wrapText="1"/>
    </xf>
    <xf numFmtId="49" fontId="46" fillId="21" borderId="60" xfId="0" applyNumberFormat="1" applyFont="1" applyFill="1" applyBorder="1" applyAlignment="1" applyProtection="1">
      <alignment horizontal="left" vertical="center" wrapText="1"/>
    </xf>
    <xf numFmtId="49" fontId="46" fillId="21" borderId="67" xfId="0" applyNumberFormat="1" applyFont="1" applyFill="1" applyBorder="1" applyAlignment="1" applyProtection="1">
      <alignment horizontal="left" vertical="center" wrapText="1"/>
    </xf>
    <xf numFmtId="49" fontId="46" fillId="21" borderId="40" xfId="0" applyNumberFormat="1" applyFont="1" applyFill="1" applyBorder="1" applyAlignment="1" applyProtection="1">
      <alignment horizontal="left" vertical="center" wrapText="1"/>
    </xf>
    <xf numFmtId="49" fontId="46" fillId="21" borderId="68" xfId="0" applyNumberFormat="1" applyFont="1" applyFill="1" applyBorder="1" applyAlignment="1" applyProtection="1">
      <alignment horizontal="left" vertical="center" wrapText="1"/>
    </xf>
    <xf numFmtId="49" fontId="46" fillId="21" borderId="9" xfId="0" applyNumberFormat="1" applyFont="1" applyFill="1" applyBorder="1" applyAlignment="1" applyProtection="1">
      <alignment horizontal="left" vertical="center" wrapText="1"/>
    </xf>
    <xf numFmtId="49" fontId="46" fillId="21" borderId="62" xfId="0" applyNumberFormat="1" applyFont="1" applyFill="1" applyBorder="1" applyAlignment="1" applyProtection="1">
      <alignment horizontal="left" vertical="center" wrapText="1"/>
    </xf>
    <xf numFmtId="49" fontId="46" fillId="21" borderId="80" xfId="0" applyNumberFormat="1" applyFont="1" applyFill="1" applyBorder="1" applyAlignment="1" applyProtection="1">
      <alignment horizontal="left" vertical="center" wrapText="1"/>
    </xf>
    <xf numFmtId="0" fontId="46" fillId="22" borderId="48" xfId="0" applyFont="1" applyFill="1" applyBorder="1" applyAlignment="1" applyProtection="1">
      <alignment horizontal="center" vertical="center" wrapText="1"/>
      <protection hidden="1"/>
    </xf>
    <xf numFmtId="0" fontId="46" fillId="22" borderId="56" xfId="0" applyFont="1" applyFill="1" applyBorder="1" applyAlignment="1" applyProtection="1">
      <alignment horizontal="center" vertical="center" wrapText="1"/>
      <protection hidden="1"/>
    </xf>
    <xf numFmtId="0" fontId="45" fillId="0" borderId="55" xfId="0" applyFont="1" applyFill="1" applyBorder="1" applyAlignment="1" applyProtection="1">
      <alignment horizontal="left" vertical="top"/>
      <protection hidden="1"/>
    </xf>
    <xf numFmtId="49" fontId="45" fillId="21" borderId="55" xfId="0" applyNumberFormat="1" applyFont="1" applyFill="1" applyBorder="1" applyAlignment="1" applyProtection="1">
      <alignment horizontal="left" vertical="top"/>
    </xf>
    <xf numFmtId="164" fontId="45" fillId="22" borderId="51" xfId="0" applyNumberFormat="1" applyFont="1" applyFill="1" applyBorder="1" applyAlignment="1" applyProtection="1">
      <alignment horizontal="center" vertical="center" wrapText="1"/>
      <protection hidden="1"/>
    </xf>
    <xf numFmtId="164" fontId="45" fillId="22" borderId="52" xfId="0" applyNumberFormat="1" applyFont="1" applyFill="1" applyBorder="1" applyAlignment="1" applyProtection="1">
      <alignment horizontal="center" vertical="center" wrapText="1"/>
      <protection hidden="1"/>
    </xf>
    <xf numFmtId="0" fontId="45" fillId="0" borderId="57" xfId="0" applyFont="1" applyFill="1" applyBorder="1" applyAlignment="1" applyProtection="1">
      <alignment horizontal="left" vertical="top"/>
      <protection hidden="1"/>
    </xf>
    <xf numFmtId="49" fontId="45" fillId="21" borderId="57" xfId="0" applyNumberFormat="1" applyFont="1" applyFill="1" applyBorder="1" applyAlignment="1" applyProtection="1">
      <alignment horizontal="left" vertical="top"/>
    </xf>
    <xf numFmtId="0" fontId="48" fillId="0" borderId="1" xfId="0" applyFont="1" applyBorder="1" applyAlignment="1" applyProtection="1">
      <alignment horizontal="center" vertical="top"/>
      <protection hidden="1"/>
    </xf>
    <xf numFmtId="0" fontId="45" fillId="21" borderId="1" xfId="0" applyFont="1" applyFill="1" applyBorder="1" applyAlignment="1" applyProtection="1">
      <alignment horizontal="center" vertical="center"/>
      <protection hidden="1"/>
    </xf>
    <xf numFmtId="165" fontId="45" fillId="22" borderId="2" xfId="0" applyNumberFormat="1" applyFont="1" applyFill="1" applyBorder="1" applyAlignment="1" applyProtection="1">
      <alignment horizontal="center" vertical="center" wrapText="1"/>
      <protection hidden="1"/>
    </xf>
    <xf numFmtId="165" fontId="45" fillId="22" borderId="11" xfId="0" applyNumberFormat="1" applyFont="1" applyFill="1" applyBorder="1" applyAlignment="1" applyProtection="1">
      <alignment horizontal="center" vertical="center" wrapText="1"/>
      <protection hidden="1"/>
    </xf>
    <xf numFmtId="165" fontId="45" fillId="22" borderId="10" xfId="0" applyNumberFormat="1" applyFont="1" applyFill="1" applyBorder="1" applyAlignment="1" applyProtection="1">
      <alignment horizontal="center" vertical="center" wrapText="1"/>
      <protection hidden="1"/>
    </xf>
    <xf numFmtId="0" fontId="45" fillId="0" borderId="48" xfId="0" applyFont="1" applyFill="1" applyBorder="1" applyAlignment="1" applyProtection="1">
      <alignment horizontal="left" vertical="top"/>
      <protection hidden="1"/>
    </xf>
    <xf numFmtId="49" fontId="45" fillId="21" borderId="49" xfId="0" applyNumberFormat="1" applyFont="1" applyFill="1" applyBorder="1" applyAlignment="1" applyProtection="1">
      <alignment horizontal="left" vertical="top"/>
    </xf>
    <xf numFmtId="164" fontId="49" fillId="23" borderId="49" xfId="0" applyNumberFormat="1" applyFont="1" applyFill="1" applyBorder="1" applyAlignment="1" applyProtection="1">
      <alignment horizontal="center" vertical="center" textRotation="90" wrapText="1"/>
      <protection hidden="1"/>
    </xf>
    <xf numFmtId="164" fontId="49" fillId="23" borderId="3" xfId="0" applyNumberFormat="1" applyFont="1" applyFill="1" applyBorder="1" applyAlignment="1" applyProtection="1">
      <alignment horizontal="center" vertical="center" textRotation="90" wrapText="1"/>
      <protection hidden="1"/>
    </xf>
    <xf numFmtId="0" fontId="49" fillId="23" borderId="59" xfId="0" applyFont="1" applyFill="1" applyBorder="1" applyAlignment="1" applyProtection="1">
      <alignment horizontal="center" vertical="center" wrapText="1"/>
      <protection hidden="1"/>
    </xf>
    <xf numFmtId="0" fontId="49" fillId="23" borderId="60" xfId="0" applyFont="1" applyFill="1" applyBorder="1" applyAlignment="1" applyProtection="1">
      <alignment horizontal="center" vertical="center" wrapText="1"/>
      <protection hidden="1"/>
    </xf>
    <xf numFmtId="0" fontId="49" fillId="23" borderId="49" xfId="0" applyFont="1" applyFill="1" applyBorder="1" applyAlignment="1" applyProtection="1">
      <alignment horizontal="center" vertical="center" textRotation="90" wrapText="1"/>
      <protection hidden="1"/>
    </xf>
    <xf numFmtId="0" fontId="49" fillId="23" borderId="3" xfId="0" applyFont="1" applyFill="1" applyBorder="1" applyAlignment="1" applyProtection="1">
      <alignment horizontal="center" vertical="center" textRotation="90" wrapText="1"/>
      <protection hidden="1"/>
    </xf>
    <xf numFmtId="0" fontId="49" fillId="23" borderId="58" xfId="0" applyFont="1" applyFill="1" applyBorder="1" applyAlignment="1" applyProtection="1">
      <alignment horizontal="center" vertical="center" wrapText="1"/>
      <protection hidden="1"/>
    </xf>
    <xf numFmtId="0" fontId="49" fillId="23" borderId="35" xfId="0" applyFont="1" applyFill="1" applyBorder="1" applyAlignment="1" applyProtection="1">
      <alignment horizontal="center" vertical="center" wrapText="1"/>
      <protection hidden="1"/>
    </xf>
    <xf numFmtId="0" fontId="49" fillId="23" borderId="61" xfId="0" applyFont="1" applyFill="1" applyBorder="1" applyAlignment="1" applyProtection="1">
      <alignment horizontal="center" vertical="center" wrapText="1"/>
      <protection hidden="1"/>
    </xf>
    <xf numFmtId="0" fontId="45" fillId="0" borderId="63" xfId="0" applyFont="1" applyFill="1" applyBorder="1" applyAlignment="1" applyProtection="1">
      <alignment horizontal="center" vertical="center" textRotation="90" wrapText="1"/>
      <protection hidden="1"/>
    </xf>
    <xf numFmtId="0" fontId="45" fillId="0" borderId="37" xfId="0" applyFont="1" applyFill="1" applyBorder="1" applyAlignment="1" applyProtection="1">
      <alignment horizontal="center" vertical="center" textRotation="90" wrapText="1"/>
      <protection hidden="1"/>
    </xf>
    <xf numFmtId="0" fontId="45" fillId="0" borderId="64" xfId="0" applyFont="1" applyFill="1" applyBorder="1" applyAlignment="1" applyProtection="1">
      <alignment horizontal="center" vertical="center" textRotation="90" wrapText="1"/>
      <protection hidden="1"/>
    </xf>
    <xf numFmtId="0" fontId="45" fillId="0" borderId="0" xfId="0" applyFont="1" applyAlignment="1" applyProtection="1">
      <alignment horizontal="center" vertical="center"/>
      <protection hidden="1"/>
    </xf>
    <xf numFmtId="0" fontId="49" fillId="23" borderId="49" xfId="0" applyFont="1" applyFill="1" applyBorder="1" applyAlignment="1" applyProtection="1">
      <alignment horizontal="center" vertical="center" wrapText="1"/>
      <protection hidden="1"/>
    </xf>
    <xf numFmtId="0" fontId="49" fillId="23" borderId="3" xfId="0" applyFont="1" applyFill="1" applyBorder="1" applyAlignment="1" applyProtection="1">
      <alignment horizontal="center" vertical="center" wrapText="1"/>
      <protection hidden="1"/>
    </xf>
    <xf numFmtId="0" fontId="49" fillId="23" borderId="60" xfId="0" applyFont="1" applyFill="1" applyBorder="1" applyAlignment="1" applyProtection="1">
      <alignment horizontal="center" vertical="center"/>
      <protection hidden="1"/>
    </xf>
    <xf numFmtId="2" fontId="51" fillId="3" borderId="55" xfId="0" applyNumberFormat="1" applyFont="1" applyFill="1" applyBorder="1" applyAlignment="1" applyProtection="1">
      <alignment horizontal="center" vertical="center"/>
      <protection hidden="1"/>
    </xf>
    <xf numFmtId="2" fontId="51" fillId="3" borderId="5" xfId="0" applyNumberFormat="1" applyFont="1" applyFill="1" applyBorder="1" applyAlignment="1" applyProtection="1">
      <alignment horizontal="center" vertical="center"/>
      <protection hidden="1"/>
    </xf>
    <xf numFmtId="2" fontId="51" fillId="3" borderId="69" xfId="0" applyNumberFormat="1" applyFont="1" applyFill="1" applyBorder="1" applyAlignment="1" applyProtection="1">
      <alignment horizontal="center" vertical="center"/>
      <protection hidden="1"/>
    </xf>
    <xf numFmtId="2" fontId="51" fillId="3" borderId="68" xfId="0" applyNumberFormat="1" applyFont="1" applyFill="1" applyBorder="1" applyAlignment="1" applyProtection="1">
      <alignment horizontal="center" vertical="center"/>
      <protection hidden="1"/>
    </xf>
    <xf numFmtId="2" fontId="51" fillId="3" borderId="54" xfId="0" applyNumberFormat="1" applyFont="1" applyFill="1" applyBorder="1" applyAlignment="1" applyProtection="1">
      <alignment horizontal="center" vertical="center"/>
      <protection hidden="1"/>
    </xf>
    <xf numFmtId="2" fontId="51" fillId="3" borderId="70" xfId="0" applyNumberFormat="1" applyFont="1" applyFill="1" applyBorder="1" applyAlignment="1" applyProtection="1">
      <alignment horizontal="center" vertical="center"/>
      <protection hidden="1"/>
    </xf>
    <xf numFmtId="0" fontId="45" fillId="0" borderId="59" xfId="0" applyFont="1" applyFill="1" applyBorder="1" applyAlignment="1" applyProtection="1">
      <alignment horizontal="left" vertical="center" wrapText="1"/>
      <protection hidden="1"/>
    </xf>
    <xf numFmtId="0" fontId="45" fillId="0" borderId="65" xfId="0" applyFont="1" applyFill="1" applyBorder="1" applyAlignment="1" applyProtection="1">
      <alignment horizontal="left" vertical="center" wrapText="1"/>
      <protection hidden="1"/>
    </xf>
    <xf numFmtId="2" fontId="47" fillId="0" borderId="63" xfId="0" applyNumberFormat="1" applyFont="1" applyFill="1" applyBorder="1" applyAlignment="1" applyProtection="1">
      <alignment horizontal="center" vertical="center"/>
      <protection hidden="1"/>
    </xf>
    <xf numFmtId="2" fontId="47" fillId="0" borderId="51" xfId="0" applyNumberFormat="1" applyFont="1" applyFill="1" applyBorder="1" applyAlignment="1" applyProtection="1">
      <alignment horizontal="center" vertical="center"/>
      <protection hidden="1"/>
    </xf>
    <xf numFmtId="2" fontId="47" fillId="0" borderId="66" xfId="0" applyNumberFormat="1" applyFont="1" applyFill="1" applyBorder="1" applyAlignment="1" applyProtection="1">
      <alignment horizontal="center" vertical="center"/>
      <protection hidden="1"/>
    </xf>
    <xf numFmtId="2" fontId="47" fillId="0" borderId="36" xfId="0" applyNumberFormat="1" applyFont="1" applyFill="1" applyBorder="1" applyAlignment="1" applyProtection="1">
      <alignment horizontal="center" vertical="center"/>
      <protection hidden="1"/>
    </xf>
    <xf numFmtId="164" fontId="47" fillId="0" borderId="3" xfId="0" applyNumberFormat="1" applyFont="1" applyFill="1" applyBorder="1" applyAlignment="1" applyProtection="1">
      <alignment horizontal="center" vertical="center"/>
      <protection hidden="1"/>
    </xf>
    <xf numFmtId="164" fontId="47" fillId="0" borderId="50" xfId="0" applyNumberFormat="1" applyFont="1" applyFill="1" applyBorder="1" applyAlignment="1" applyProtection="1">
      <alignment horizontal="center" vertical="center"/>
      <protection hidden="1"/>
    </xf>
    <xf numFmtId="164" fontId="45" fillId="0" borderId="49" xfId="0" applyNumberFormat="1" applyFont="1" applyFill="1" applyBorder="1" applyAlignment="1" applyProtection="1">
      <alignment horizontal="center" vertical="center"/>
      <protection hidden="1"/>
    </xf>
    <xf numFmtId="164" fontId="45" fillId="0" borderId="5" xfId="0" applyNumberFormat="1" applyFont="1" applyFill="1" applyBorder="1" applyAlignment="1" applyProtection="1">
      <alignment horizontal="center" vertical="center"/>
      <protection hidden="1"/>
    </xf>
    <xf numFmtId="164" fontId="45" fillId="0" borderId="3" xfId="0" applyNumberFormat="1" applyFont="1" applyFill="1" applyBorder="1" applyAlignment="1" applyProtection="1">
      <alignment horizontal="center" vertical="center"/>
      <protection hidden="1"/>
    </xf>
    <xf numFmtId="0" fontId="45" fillId="0" borderId="6" xfId="0" applyFont="1" applyFill="1" applyBorder="1" applyAlignment="1" applyProtection="1">
      <alignment horizontal="left" vertical="center" wrapText="1"/>
      <protection hidden="1"/>
    </xf>
    <xf numFmtId="0" fontId="45" fillId="0" borderId="39" xfId="0" applyFont="1" applyFill="1" applyBorder="1" applyAlignment="1" applyProtection="1">
      <alignment horizontal="left" vertical="center" wrapText="1"/>
      <protection hidden="1"/>
    </xf>
    <xf numFmtId="2" fontId="47" fillId="0" borderId="25" xfId="0" applyNumberFormat="1" applyFont="1" applyFill="1" applyBorder="1" applyAlignment="1" applyProtection="1">
      <alignment horizontal="center" vertical="center"/>
      <protection hidden="1"/>
    </xf>
    <xf numFmtId="2" fontId="47" fillId="0" borderId="71" xfId="0" applyNumberFormat="1" applyFont="1" applyFill="1" applyBorder="1" applyAlignment="1" applyProtection="1">
      <alignment horizontal="center" vertical="center"/>
      <protection hidden="1"/>
    </xf>
    <xf numFmtId="0" fontId="0" fillId="0" borderId="71" xfId="0" applyBorder="1" applyAlignment="1" applyProtection="1">
      <alignment horizontal="center" vertical="center"/>
    </xf>
    <xf numFmtId="2" fontId="47" fillId="0" borderId="27" xfId="0" applyNumberFormat="1" applyFont="1" applyFill="1" applyBorder="1" applyAlignment="1" applyProtection="1">
      <alignment horizontal="center" vertical="center"/>
      <protection hidden="1"/>
    </xf>
    <xf numFmtId="2" fontId="47" fillId="0" borderId="72" xfId="0" applyNumberFormat="1" applyFont="1" applyFill="1" applyBorder="1" applyAlignment="1" applyProtection="1">
      <alignment horizontal="center" vertical="center"/>
      <protection hidden="1"/>
    </xf>
    <xf numFmtId="0" fontId="0" fillId="0" borderId="72" xfId="0" applyBorder="1" applyAlignment="1" applyProtection="1">
      <alignment horizontal="center" vertical="center"/>
    </xf>
    <xf numFmtId="164" fontId="47" fillId="0" borderId="49" xfId="0" applyNumberFormat="1" applyFont="1" applyFill="1" applyBorder="1" applyAlignment="1" applyProtection="1">
      <alignment horizontal="center" vertical="center"/>
      <protection hidden="1"/>
    </xf>
    <xf numFmtId="164" fontId="47" fillId="0" borderId="5" xfId="0" applyNumberFormat="1" applyFont="1" applyFill="1" applyBorder="1" applyAlignment="1" applyProtection="1">
      <alignment horizontal="center" vertical="center"/>
      <protection hidden="1"/>
    </xf>
    <xf numFmtId="0" fontId="0" fillId="0" borderId="5" xfId="0" applyBorder="1" applyAlignment="1" applyProtection="1">
      <alignment horizontal="center" vertical="center"/>
    </xf>
    <xf numFmtId="0" fontId="45" fillId="0" borderId="4" xfId="0" applyFont="1" applyFill="1" applyBorder="1" applyAlignment="1" applyProtection="1">
      <alignment horizontal="left" vertical="center" wrapText="1"/>
      <protection hidden="1"/>
    </xf>
    <xf numFmtId="0" fontId="45" fillId="0" borderId="11" xfId="0" applyFont="1" applyFill="1" applyBorder="1" applyAlignment="1" applyProtection="1">
      <alignment horizontal="left" vertical="center" wrapText="1"/>
      <protection hidden="1"/>
    </xf>
    <xf numFmtId="2" fontId="51" fillId="3" borderId="3" xfId="0" applyNumberFormat="1" applyFont="1" applyFill="1" applyBorder="1" applyAlignment="1" applyProtection="1">
      <alignment horizontal="center" vertical="center"/>
      <protection hidden="1"/>
    </xf>
    <xf numFmtId="4" fontId="51" fillId="3" borderId="5" xfId="0" applyNumberFormat="1" applyFont="1" applyFill="1" applyBorder="1" applyAlignment="1" applyProtection="1">
      <alignment horizontal="center" vertical="center"/>
      <protection hidden="1"/>
    </xf>
    <xf numFmtId="4" fontId="0" fillId="0" borderId="5" xfId="0" applyNumberFormat="1" applyBorder="1" applyAlignment="1" applyProtection="1">
      <alignment horizontal="center" vertical="center"/>
    </xf>
    <xf numFmtId="4" fontId="0" fillId="0" borderId="3" xfId="0" applyNumberFormat="1" applyBorder="1" applyAlignment="1" applyProtection="1">
      <alignment horizontal="center" vertical="center"/>
    </xf>
    <xf numFmtId="0" fontId="0" fillId="0" borderId="54" xfId="0" applyBorder="1" applyAlignment="1" applyProtection="1">
      <alignment horizontal="center" vertical="center"/>
    </xf>
    <xf numFmtId="0" fontId="0" fillId="0" borderId="64" xfId="0" applyBorder="1" applyAlignment="1" applyProtection="1">
      <alignment horizontal="center" vertical="center"/>
    </xf>
    <xf numFmtId="0" fontId="47" fillId="1" borderId="55" xfId="0" applyFont="1" applyFill="1" applyBorder="1" applyAlignment="1" applyProtection="1">
      <alignment horizontal="center" vertical="center"/>
      <protection hidden="1"/>
    </xf>
    <xf numFmtId="0" fontId="47" fillId="1" borderId="5" xfId="0" applyFont="1" applyFill="1" applyBorder="1" applyAlignment="1" applyProtection="1">
      <alignment horizontal="center" vertical="center"/>
      <protection hidden="1"/>
    </xf>
    <xf numFmtId="0" fontId="47" fillId="1" borderId="69" xfId="0" applyFont="1" applyFill="1" applyBorder="1" applyAlignment="1" applyProtection="1">
      <alignment horizontal="center" vertical="center"/>
      <protection hidden="1"/>
    </xf>
    <xf numFmtId="0" fontId="47" fillId="1" borderId="68" xfId="0" applyFont="1" applyFill="1" applyBorder="1" applyAlignment="1" applyProtection="1">
      <alignment horizontal="center" vertical="center"/>
      <protection hidden="1"/>
    </xf>
    <xf numFmtId="0" fontId="47" fillId="1" borderId="54" xfId="0" applyFont="1" applyFill="1" applyBorder="1" applyAlignment="1" applyProtection="1">
      <alignment horizontal="center" vertical="center"/>
      <protection hidden="1"/>
    </xf>
    <xf numFmtId="0" fontId="47" fillId="1" borderId="70" xfId="0" applyFont="1" applyFill="1" applyBorder="1" applyAlignment="1" applyProtection="1">
      <alignment horizontal="center" vertical="center"/>
      <protection hidden="1"/>
    </xf>
    <xf numFmtId="2" fontId="47" fillId="0" borderId="75" xfId="0" applyNumberFormat="1" applyFont="1" applyFill="1" applyBorder="1" applyAlignment="1" applyProtection="1">
      <alignment horizontal="center" vertical="center"/>
      <protection hidden="1"/>
    </xf>
    <xf numFmtId="164" fontId="46" fillId="0" borderId="49" xfId="0" applyNumberFormat="1" applyFont="1" applyFill="1" applyBorder="1" applyAlignment="1" applyProtection="1">
      <alignment horizontal="center" vertical="center"/>
      <protection hidden="1"/>
    </xf>
    <xf numFmtId="164" fontId="46" fillId="0" borderId="5" xfId="0" applyNumberFormat="1" applyFont="1" applyFill="1" applyBorder="1" applyAlignment="1" applyProtection="1">
      <alignment horizontal="center" vertical="center"/>
      <protection hidden="1"/>
    </xf>
    <xf numFmtId="164" fontId="46" fillId="0" borderId="3" xfId="0" applyNumberFormat="1" applyFont="1" applyFill="1" applyBorder="1" applyAlignment="1" applyProtection="1">
      <alignment horizontal="center" vertical="center"/>
      <protection hidden="1"/>
    </xf>
    <xf numFmtId="2" fontId="51" fillId="3" borderId="56" xfId="0" applyNumberFormat="1" applyFont="1" applyFill="1" applyBorder="1" applyAlignment="1" applyProtection="1">
      <alignment horizontal="center" vertical="center"/>
      <protection hidden="1"/>
    </xf>
    <xf numFmtId="2" fontId="51" fillId="3" borderId="74" xfId="0" applyNumberFormat="1" applyFont="1" applyFill="1" applyBorder="1" applyAlignment="1" applyProtection="1">
      <alignment horizontal="center" vertical="center"/>
      <protection hidden="1"/>
    </xf>
    <xf numFmtId="0" fontId="45" fillId="0" borderId="10" xfId="0" applyFont="1" applyFill="1" applyBorder="1" applyAlignment="1" applyProtection="1">
      <alignment horizontal="left" vertical="center" wrapText="1"/>
      <protection hidden="1"/>
    </xf>
    <xf numFmtId="0" fontId="0" fillId="0" borderId="3" xfId="0" applyBorder="1" applyAlignment="1" applyProtection="1">
      <alignment horizontal="center" vertical="center"/>
    </xf>
    <xf numFmtId="2" fontId="47" fillId="0" borderId="17" xfId="0" applyNumberFormat="1" applyFont="1" applyFill="1" applyBorder="1" applyAlignment="1" applyProtection="1">
      <alignment horizontal="center" vertical="center"/>
      <protection hidden="1"/>
    </xf>
    <xf numFmtId="2" fontId="47" fillId="0" borderId="78" xfId="0" applyNumberFormat="1" applyFont="1" applyFill="1" applyBorder="1" applyAlignment="1" applyProtection="1">
      <alignment horizontal="center" vertical="center"/>
      <protection hidden="1"/>
    </xf>
    <xf numFmtId="0" fontId="0" fillId="0" borderId="70" xfId="0" applyBorder="1" applyAlignment="1" applyProtection="1">
      <alignment horizontal="center" vertical="center"/>
    </xf>
    <xf numFmtId="0" fontId="45" fillId="0" borderId="40" xfId="0" applyFont="1" applyFill="1" applyBorder="1" applyAlignment="1" applyProtection="1">
      <alignment horizontal="left" vertical="center" wrapText="1"/>
      <protection hidden="1"/>
    </xf>
    <xf numFmtId="0" fontId="45" fillId="0" borderId="9" xfId="0" applyFont="1" applyFill="1" applyBorder="1" applyAlignment="1" applyProtection="1">
      <alignment horizontal="left" vertical="center" wrapText="1"/>
      <protection hidden="1"/>
    </xf>
    <xf numFmtId="0" fontId="45" fillId="0" borderId="62" xfId="0" applyFont="1" applyFill="1" applyBorder="1" applyAlignment="1" applyProtection="1">
      <alignment horizontal="left" vertical="center" wrapText="1"/>
      <protection hidden="1"/>
    </xf>
    <xf numFmtId="0" fontId="45" fillId="0" borderId="59" xfId="0" applyFont="1" applyFill="1" applyBorder="1" applyAlignment="1" applyProtection="1">
      <alignment horizontal="left" wrapText="1"/>
      <protection hidden="1"/>
    </xf>
    <xf numFmtId="0" fontId="45" fillId="0" borderId="65" xfId="0" applyFont="1" applyFill="1" applyBorder="1" applyAlignment="1" applyProtection="1">
      <alignment horizontal="left" wrapText="1"/>
      <protection hidden="1"/>
    </xf>
    <xf numFmtId="2" fontId="47" fillId="0" borderId="49" xfId="0" applyNumberFormat="1" applyFont="1" applyFill="1" applyBorder="1" applyAlignment="1" applyProtection="1">
      <alignment horizontal="center" vertical="center"/>
      <protection hidden="1"/>
    </xf>
    <xf numFmtId="2" fontId="47" fillId="0" borderId="5" xfId="0" applyNumberFormat="1" applyFont="1" applyFill="1" applyBorder="1" applyAlignment="1" applyProtection="1">
      <alignment horizontal="center" vertical="center"/>
      <protection hidden="1"/>
    </xf>
    <xf numFmtId="0" fontId="45" fillId="0" borderId="4" xfId="0" applyFont="1" applyFill="1" applyBorder="1" applyAlignment="1" applyProtection="1">
      <alignment horizontal="left" wrapText="1"/>
      <protection hidden="1"/>
    </xf>
    <xf numFmtId="0" fontId="45" fillId="0" borderId="11" xfId="0" applyFont="1" applyFill="1" applyBorder="1" applyAlignment="1" applyProtection="1">
      <alignment horizontal="left" wrapText="1"/>
      <protection hidden="1"/>
    </xf>
    <xf numFmtId="2" fontId="51" fillId="3" borderId="56" xfId="0" applyNumberFormat="1" applyFont="1" applyFill="1" applyBorder="1" applyAlignment="1" applyProtection="1">
      <alignment horizontal="center"/>
      <protection hidden="1"/>
    </xf>
    <xf numFmtId="2" fontId="51" fillId="3" borderId="74" xfId="0" applyNumberFormat="1" applyFont="1" applyFill="1" applyBorder="1" applyAlignment="1" applyProtection="1">
      <alignment horizontal="center"/>
      <protection hidden="1"/>
    </xf>
    <xf numFmtId="2" fontId="51" fillId="4" borderId="56" xfId="0" applyNumberFormat="1" applyFont="1" applyFill="1" applyBorder="1" applyAlignment="1" applyProtection="1">
      <alignment horizontal="center" wrapText="1"/>
      <protection hidden="1"/>
    </xf>
    <xf numFmtId="2" fontId="51" fillId="3" borderId="57" xfId="0" applyNumberFormat="1" applyFont="1" applyFill="1" applyBorder="1" applyAlignment="1" applyProtection="1">
      <alignment horizontal="center"/>
      <protection hidden="1"/>
    </xf>
    <xf numFmtId="2" fontId="51" fillId="3" borderId="80" xfId="0" applyNumberFormat="1" applyFont="1" applyFill="1" applyBorder="1" applyAlignment="1" applyProtection="1">
      <alignment horizontal="center"/>
      <protection hidden="1"/>
    </xf>
    <xf numFmtId="0" fontId="0" fillId="0" borderId="1" xfId="0" applyBorder="1" applyAlignment="1">
      <alignment horizontal="center" vertical="center" textRotation="90"/>
    </xf>
    <xf numFmtId="49" fontId="0" fillId="0" borderId="1" xfId="0" applyNumberFormat="1" applyBorder="1"/>
    <xf numFmtId="49" fontId="0" fillId="0" borderId="8" xfId="0" applyNumberFormat="1" applyBorder="1"/>
    <xf numFmtId="49" fontId="0" fillId="0" borderId="15" xfId="0" applyNumberFormat="1" applyBorder="1"/>
    <xf numFmtId="49" fontId="0" fillId="0" borderId="45" xfId="0" applyNumberFormat="1" applyBorder="1"/>
    <xf numFmtId="49" fontId="0" fillId="0" borderId="82" xfId="0" applyNumberFormat="1" applyBorder="1"/>
  </cellXfs>
  <cellStyles count="16">
    <cellStyle name="20 % - Farve1" xfId="5" builtinId="30"/>
    <cellStyle name="20 % - Farve2" xfId="7" builtinId="34"/>
    <cellStyle name="20 % - Farve3" xfId="9" builtinId="38"/>
    <cellStyle name="20 % - Farve4" xfId="11" builtinId="42"/>
    <cellStyle name="20 % - Farve6" xfId="13" builtinId="50"/>
    <cellStyle name="Bemærk!" xfId="15" builtinId="10"/>
    <cellStyle name="Beregning" xfId="14" builtinId="22"/>
    <cellStyle name="Farve1" xfId="4" builtinId="29"/>
    <cellStyle name="Farve3" xfId="8" builtinId="37"/>
    <cellStyle name="Farve4" xfId="10" builtinId="41"/>
    <cellStyle name="Farve6" xfId="12" builtinId="49"/>
    <cellStyle name="Input" xfId="3" builtinId="20" customBuiltin="1"/>
    <cellStyle name="Neutral" xfId="6" builtinId="28"/>
    <cellStyle name="Normal" xfId="0" builtinId="0"/>
    <cellStyle name="Procent" xfId="2" builtinId="5"/>
    <cellStyle name="Standard 4" xfId="1" xr:uid="{00000000-0005-0000-0000-00000F000000}"/>
  </cellStyles>
  <dxfs count="139">
    <dxf>
      <fill>
        <patternFill>
          <bgColor rgb="FFFF0000"/>
        </patternFill>
      </fill>
    </dxf>
    <dxf>
      <fill>
        <patternFill>
          <bgColor rgb="FFFF0000"/>
        </patternFill>
      </fill>
    </dxf>
    <dxf>
      <font>
        <strike val="0"/>
        <outline val="0"/>
        <shadow val="0"/>
        <u val="none"/>
        <vertAlign val="baseline"/>
        <sz val="9"/>
        <name val="Calibri"/>
        <scheme val="minor"/>
      </font>
      <numFmt numFmtId="0" formatCode="General"/>
      <fill>
        <patternFill>
          <fgColor indexed="64"/>
          <bgColor theme="0"/>
        </patternFill>
      </fill>
      <alignment textRotation="0" wrapText="1"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9"/>
        <name val="Calibri"/>
        <scheme val="minor"/>
      </font>
      <numFmt numFmtId="0" formatCode="General"/>
      <fill>
        <patternFill>
          <fgColor indexed="64"/>
          <bgColor theme="0"/>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9"/>
        <name val="Calibri"/>
        <scheme val="minor"/>
      </font>
      <numFmt numFmtId="0" formatCode="General"/>
      <fill>
        <patternFill>
          <fgColor indexed="64"/>
          <bgColor theme="0"/>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indexed="62"/>
        <name val="Calibri"/>
        <scheme val="minor"/>
      </font>
      <numFmt numFmtId="0" formatCode="General"/>
      <fill>
        <patternFill patternType="gray125">
          <fgColor indexed="64"/>
          <bgColor theme="0"/>
        </patternFill>
      </fill>
      <alignment horizontal="center" vertical="bottom" textRotation="0" wrapText="0" indent="0" justifyLastLine="0" shrinkToFit="0" readingOrder="0"/>
      <border diagonalUp="0" diagonalDown="0">
        <left/>
        <right style="thin">
          <color indexed="64"/>
        </right>
        <top/>
        <bottom style="thin">
          <color indexed="64"/>
        </bottom>
      </border>
      <protection locked="1" hidden="0"/>
    </dxf>
    <dxf>
      <border outline="0">
        <left style="thin">
          <color indexed="64"/>
        </left>
        <right style="thin">
          <color indexed="64"/>
        </right>
        <top style="thin">
          <color indexed="64"/>
        </top>
        <bottom style="thin">
          <color indexed="64"/>
        </bottom>
      </border>
    </dxf>
    <dxf>
      <numFmt numFmtId="0" formatCode="General"/>
      <fill>
        <patternFill>
          <fgColor indexed="64"/>
          <bgColor theme="0"/>
        </patternFill>
      </fill>
      <protection locked="1" hidden="0"/>
    </dxf>
    <dxf>
      <border outline="0">
        <bottom style="thin">
          <color indexed="64"/>
        </bottom>
      </border>
    </dxf>
    <dxf>
      <font>
        <b/>
        <i val="0"/>
        <strike val="0"/>
        <condense val="0"/>
        <extend val="0"/>
        <outline val="0"/>
        <shadow val="0"/>
        <u val="none"/>
        <vertAlign val="baseline"/>
        <sz val="9"/>
        <color theme="0"/>
        <name val="Calibri"/>
        <scheme val="minor"/>
      </font>
      <numFmt numFmtId="0" formatCode="General"/>
      <fill>
        <patternFill patternType="solid">
          <fgColor indexed="64"/>
          <bgColor theme="1" tint="0.34998626667073579"/>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font>
        <b val="0"/>
        <i val="0"/>
        <strike val="0"/>
        <condense val="0"/>
        <extend val="0"/>
        <outline val="0"/>
        <shadow val="0"/>
        <u val="none"/>
        <vertAlign val="baseline"/>
        <sz val="9"/>
        <color rgb="FF000000"/>
        <name val="Calibri"/>
        <scheme val="none"/>
      </font>
      <fill>
        <patternFill patternType="solid">
          <fgColor rgb="FF000000"/>
          <bgColor rgb="FFFFFFFF"/>
        </patternFill>
      </fill>
      <alignment horizontal="general" vertical="top"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font>
        <b val="0"/>
        <i val="0"/>
        <strike val="0"/>
        <condense val="0"/>
        <extend val="0"/>
        <outline val="0"/>
        <shadow val="0"/>
        <u val="none"/>
        <vertAlign val="baseline"/>
        <sz val="9"/>
        <color rgb="FF000000"/>
        <name val="Calibri"/>
        <scheme val="none"/>
      </font>
      <fill>
        <patternFill patternType="solid">
          <fgColor rgb="FF000000"/>
          <bgColor rgb="FFFFFFFF"/>
        </patternFill>
      </fill>
      <alignment horizontal="general" vertical="top"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font>
        <b val="0"/>
        <i val="0"/>
        <strike val="0"/>
        <condense val="0"/>
        <extend val="0"/>
        <outline val="0"/>
        <shadow val="0"/>
        <u val="none"/>
        <vertAlign val="baseline"/>
        <sz val="9"/>
        <color rgb="FF000000"/>
        <name val="Calibri"/>
        <scheme val="none"/>
      </font>
      <fill>
        <patternFill patternType="solid">
          <fgColor rgb="FF000000"/>
          <bgColor rgb="FFFFFFFF"/>
        </patternFill>
      </fill>
      <alignment horizontal="general" vertical="top"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font>
        <b val="0"/>
        <i val="0"/>
        <strike val="0"/>
        <condense val="0"/>
        <extend val="0"/>
        <outline val="0"/>
        <shadow val="0"/>
        <u val="none"/>
        <vertAlign val="baseline"/>
        <sz val="9"/>
        <color rgb="FF000000"/>
        <name val="Calibri"/>
        <scheme val="none"/>
      </font>
      <fill>
        <patternFill patternType="solid">
          <fgColor rgb="FF000000"/>
          <bgColor rgb="FFFFFFFF"/>
        </patternFill>
      </fill>
      <alignment horizontal="general" vertical="top"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font>
        <b val="0"/>
        <i val="0"/>
        <strike val="0"/>
        <condense val="0"/>
        <extend val="0"/>
        <outline val="0"/>
        <shadow val="0"/>
        <u val="none"/>
        <vertAlign val="baseline"/>
        <sz val="9"/>
        <color rgb="FF000000"/>
        <name val="Calibri"/>
        <scheme val="none"/>
      </font>
      <fill>
        <patternFill patternType="solid">
          <fgColor rgb="FF000000"/>
          <bgColor rgb="FFFFFFFF"/>
        </patternFill>
      </fill>
      <alignment horizontal="general" vertical="top"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indexed="64"/>
        </top>
      </border>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'Visualisering af resultat'!$B$317</c:f>
              <c:strCache>
                <c:ptCount val="1"/>
                <c:pt idx="0">
                  <c:v>DGNB</c:v>
                </c:pt>
              </c:strCache>
            </c:strRef>
          </c:tx>
          <c:dPt>
            <c:idx val="0"/>
            <c:bubble3D val="0"/>
            <c:spPr>
              <a:solidFill>
                <a:schemeClr val="accent1">
                  <a:lumMod val="75000"/>
                </a:schemeClr>
              </a:solidFill>
              <a:ln w="19050">
                <a:solidFill>
                  <a:schemeClr val="accent1">
                    <a:lumMod val="75000"/>
                  </a:schemeClr>
                </a:solidFill>
              </a:ln>
              <a:effectLst/>
            </c:spPr>
            <c:extLst>
              <c:ext xmlns:c16="http://schemas.microsoft.com/office/drawing/2014/chart" uri="{C3380CC4-5D6E-409C-BE32-E72D297353CC}">
                <c16:uniqueId val="{00000015-0A92-4002-A734-67C94E87FA98}"/>
              </c:ext>
            </c:extLst>
          </c:dPt>
          <c:dPt>
            <c:idx val="1"/>
            <c:bubble3D val="0"/>
            <c:spPr>
              <a:pattFill prst="ltDnDiag">
                <a:fgClr>
                  <a:schemeClr val="accent1">
                    <a:lumMod val="75000"/>
                  </a:schemeClr>
                </a:fgClr>
                <a:bgClr>
                  <a:schemeClr val="accent1">
                    <a:lumMod val="20000"/>
                    <a:lumOff val="80000"/>
                  </a:schemeClr>
                </a:bgClr>
              </a:pattFill>
              <a:ln w="19050">
                <a:solidFill>
                  <a:schemeClr val="accent1">
                    <a:lumMod val="20000"/>
                    <a:lumOff val="80000"/>
                  </a:schemeClr>
                </a:solidFill>
              </a:ln>
              <a:effectLst/>
            </c:spPr>
            <c:extLst>
              <c:ext xmlns:c16="http://schemas.microsoft.com/office/drawing/2014/chart" uri="{C3380CC4-5D6E-409C-BE32-E72D297353CC}">
                <c16:uniqueId val="{0000004A-0A92-4002-A734-67C94E87FA98}"/>
              </c:ext>
            </c:extLst>
          </c:dPt>
          <c:dPt>
            <c:idx val="2"/>
            <c:bubble3D val="0"/>
            <c:spPr>
              <a:solidFill>
                <a:schemeClr val="accent3">
                  <a:lumMod val="50000"/>
                </a:schemeClr>
              </a:solidFill>
              <a:ln w="19050">
                <a:solidFill>
                  <a:schemeClr val="accent3">
                    <a:lumMod val="50000"/>
                  </a:schemeClr>
                </a:solidFill>
              </a:ln>
              <a:effectLst/>
            </c:spPr>
            <c:extLst>
              <c:ext xmlns:c16="http://schemas.microsoft.com/office/drawing/2014/chart" uri="{C3380CC4-5D6E-409C-BE32-E72D297353CC}">
                <c16:uniqueId val="{00000021-0A92-4002-A734-67C94E87FA98}"/>
              </c:ext>
            </c:extLst>
          </c:dPt>
          <c:dPt>
            <c:idx val="3"/>
            <c:bubble3D val="0"/>
            <c:spPr>
              <a:pattFill prst="ltDnDiag">
                <a:fgClr>
                  <a:schemeClr val="accent3">
                    <a:lumMod val="50000"/>
                  </a:schemeClr>
                </a:fgClr>
                <a:bgClr>
                  <a:schemeClr val="accent3">
                    <a:lumMod val="40000"/>
                    <a:lumOff val="60000"/>
                  </a:schemeClr>
                </a:bgClr>
              </a:pattFill>
              <a:ln w="19050">
                <a:solidFill>
                  <a:schemeClr val="accent3">
                    <a:lumMod val="60000"/>
                    <a:lumOff val="40000"/>
                  </a:schemeClr>
                </a:solidFill>
              </a:ln>
              <a:effectLst/>
            </c:spPr>
            <c:extLst>
              <c:ext xmlns:c16="http://schemas.microsoft.com/office/drawing/2014/chart" uri="{C3380CC4-5D6E-409C-BE32-E72D297353CC}">
                <c16:uniqueId val="{00000028-0A92-4002-A734-67C94E87FA98}"/>
              </c:ext>
            </c:extLst>
          </c:dPt>
          <c:dPt>
            <c:idx val="4"/>
            <c:bubble3D val="0"/>
            <c:spPr>
              <a:solidFill>
                <a:schemeClr val="accent2"/>
              </a:solidFill>
              <a:ln w="19050">
                <a:solidFill>
                  <a:schemeClr val="accent2"/>
                </a:solidFill>
              </a:ln>
              <a:effectLst/>
            </c:spPr>
            <c:extLst>
              <c:ext xmlns:c16="http://schemas.microsoft.com/office/drawing/2014/chart" uri="{C3380CC4-5D6E-409C-BE32-E72D297353CC}">
                <c16:uniqueId val="{00000031-0A92-4002-A734-67C94E87FA98}"/>
              </c:ext>
            </c:extLst>
          </c:dPt>
          <c:dPt>
            <c:idx val="5"/>
            <c:bubble3D val="0"/>
            <c:spPr>
              <a:pattFill prst="ltDnDiag">
                <a:fgClr>
                  <a:schemeClr val="accent2"/>
                </a:fgClr>
                <a:bgClr>
                  <a:schemeClr val="accent2">
                    <a:lumMod val="20000"/>
                    <a:lumOff val="80000"/>
                  </a:schemeClr>
                </a:bgClr>
              </a:pattFill>
              <a:ln w="19050">
                <a:solidFill>
                  <a:schemeClr val="accent2">
                    <a:lumMod val="20000"/>
                    <a:lumOff val="80000"/>
                  </a:schemeClr>
                </a:solidFill>
              </a:ln>
              <a:effectLst/>
            </c:spPr>
            <c:extLst>
              <c:ext xmlns:c16="http://schemas.microsoft.com/office/drawing/2014/chart" uri="{C3380CC4-5D6E-409C-BE32-E72D297353CC}">
                <c16:uniqueId val="{00000034-0A92-4002-A734-67C94E87FA98}"/>
              </c:ext>
            </c:extLst>
          </c:dPt>
          <c:dPt>
            <c:idx val="6"/>
            <c:bubble3D val="0"/>
            <c:spPr>
              <a:solidFill>
                <a:schemeClr val="accent6">
                  <a:lumMod val="75000"/>
                </a:schemeClr>
              </a:solidFill>
              <a:ln w="19050">
                <a:solidFill>
                  <a:schemeClr val="accent6">
                    <a:lumMod val="75000"/>
                  </a:schemeClr>
                </a:solidFill>
              </a:ln>
              <a:effectLst/>
            </c:spPr>
            <c:extLst>
              <c:ext xmlns:c16="http://schemas.microsoft.com/office/drawing/2014/chart" uri="{C3380CC4-5D6E-409C-BE32-E72D297353CC}">
                <c16:uniqueId val="{00000037-0A92-4002-A734-67C94E87FA98}"/>
              </c:ext>
            </c:extLst>
          </c:dPt>
          <c:dPt>
            <c:idx val="7"/>
            <c:bubble3D val="0"/>
            <c:spPr>
              <a:pattFill prst="ltDnDiag">
                <a:fgClr>
                  <a:schemeClr val="accent6">
                    <a:lumMod val="75000"/>
                  </a:schemeClr>
                </a:fgClr>
                <a:bgClr>
                  <a:schemeClr val="accent6">
                    <a:lumMod val="20000"/>
                    <a:lumOff val="80000"/>
                  </a:schemeClr>
                </a:bgClr>
              </a:pattFill>
              <a:ln w="19050">
                <a:solidFill>
                  <a:schemeClr val="accent6">
                    <a:lumMod val="40000"/>
                    <a:lumOff val="60000"/>
                  </a:schemeClr>
                </a:solidFill>
              </a:ln>
              <a:effectLst/>
            </c:spPr>
            <c:extLst>
              <c:ext xmlns:c16="http://schemas.microsoft.com/office/drawing/2014/chart" uri="{C3380CC4-5D6E-409C-BE32-E72D297353CC}">
                <c16:uniqueId val="{0000003C-0A92-4002-A734-67C94E87FA98}"/>
              </c:ext>
            </c:extLst>
          </c:dPt>
          <c:dPt>
            <c:idx val="8"/>
            <c:bubble3D val="0"/>
            <c:spPr>
              <a:solidFill>
                <a:schemeClr val="accent4">
                  <a:lumMod val="75000"/>
                </a:schemeClr>
              </a:solidFill>
              <a:ln w="19050">
                <a:solidFill>
                  <a:schemeClr val="accent4">
                    <a:lumMod val="75000"/>
                  </a:schemeClr>
                </a:solidFill>
              </a:ln>
              <a:effectLst/>
            </c:spPr>
            <c:extLst>
              <c:ext xmlns:c16="http://schemas.microsoft.com/office/drawing/2014/chart" uri="{C3380CC4-5D6E-409C-BE32-E72D297353CC}">
                <c16:uniqueId val="{00000041-0A92-4002-A734-67C94E87FA98}"/>
              </c:ext>
            </c:extLst>
          </c:dPt>
          <c:dPt>
            <c:idx val="9"/>
            <c:bubble3D val="0"/>
            <c:spPr>
              <a:pattFill prst="ltDnDiag">
                <a:fgClr>
                  <a:schemeClr val="accent4">
                    <a:lumMod val="75000"/>
                  </a:schemeClr>
                </a:fgClr>
                <a:bgClr>
                  <a:schemeClr val="accent4">
                    <a:lumMod val="20000"/>
                    <a:lumOff val="80000"/>
                  </a:schemeClr>
                </a:bgClr>
              </a:pattFill>
              <a:ln w="19050">
                <a:solidFill>
                  <a:schemeClr val="accent4">
                    <a:lumMod val="40000"/>
                    <a:lumOff val="60000"/>
                  </a:schemeClr>
                </a:solidFill>
              </a:ln>
              <a:effectLst/>
            </c:spPr>
            <c:extLst>
              <c:ext xmlns:c16="http://schemas.microsoft.com/office/drawing/2014/chart" uri="{C3380CC4-5D6E-409C-BE32-E72D297353CC}">
                <c16:uniqueId val="{00000046-0A92-4002-A734-67C94E87FA98}"/>
              </c:ext>
            </c:extLst>
          </c:dPt>
          <c:dLbls>
            <c:dLbl>
              <c:idx val="0"/>
              <c:layout>
                <c:manualLayout>
                  <c:x val="-3.7531330725610837E-2"/>
                  <c:y val="0.1190365682817255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A92-4002-A734-67C94E87FA98}"/>
                </c:ext>
              </c:extLst>
            </c:dLbl>
            <c:dLbl>
              <c:idx val="1"/>
              <c:delete val="1"/>
              <c:extLst>
                <c:ext xmlns:c15="http://schemas.microsoft.com/office/drawing/2012/chart" uri="{CE6537A1-D6FC-4f65-9D91-7224C49458BB}"/>
                <c:ext xmlns:c16="http://schemas.microsoft.com/office/drawing/2014/chart" uri="{C3380CC4-5D6E-409C-BE32-E72D297353CC}">
                  <c16:uniqueId val="{0000004A-0A92-4002-A734-67C94E87FA98}"/>
                </c:ext>
              </c:extLst>
            </c:dLbl>
            <c:dLbl>
              <c:idx val="2"/>
              <c:layout>
                <c:manualLayout>
                  <c:x val="-8.1050055157652484E-2"/>
                  <c:y val="-1.343427198718798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1-0A92-4002-A734-67C94E87FA98}"/>
                </c:ext>
              </c:extLst>
            </c:dLbl>
            <c:dLbl>
              <c:idx val="3"/>
              <c:delete val="1"/>
              <c:extLst>
                <c:ext xmlns:c15="http://schemas.microsoft.com/office/drawing/2012/chart" uri="{CE6537A1-D6FC-4f65-9D91-7224C49458BB}"/>
                <c:ext xmlns:c16="http://schemas.microsoft.com/office/drawing/2014/chart" uri="{C3380CC4-5D6E-409C-BE32-E72D297353CC}">
                  <c16:uniqueId val="{00000028-0A92-4002-A734-67C94E87FA98}"/>
                </c:ext>
              </c:extLst>
            </c:dLbl>
            <c:dLbl>
              <c:idx val="4"/>
              <c:layout>
                <c:manualLayout>
                  <c:x val="3.5744674345852177E-2"/>
                  <c:y val="-0.1582721607651804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31-0A92-4002-A734-67C94E87FA98}"/>
                </c:ext>
              </c:extLst>
            </c:dLbl>
            <c:dLbl>
              <c:idx val="5"/>
              <c:delete val="1"/>
              <c:extLst>
                <c:ext xmlns:c15="http://schemas.microsoft.com/office/drawing/2012/chart" uri="{CE6537A1-D6FC-4f65-9D91-7224C49458BB}"/>
                <c:ext xmlns:c16="http://schemas.microsoft.com/office/drawing/2014/chart" uri="{C3380CC4-5D6E-409C-BE32-E72D297353CC}">
                  <c16:uniqueId val="{00000034-0A92-4002-A734-67C94E87FA98}"/>
                </c:ext>
              </c:extLst>
            </c:dLbl>
            <c:dLbl>
              <c:idx val="6"/>
              <c:layout>
                <c:manualLayout>
                  <c:x val="9.9671389233484439E-2"/>
                  <c:y val="2.54209941548717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37-0A92-4002-A734-67C94E87FA98}"/>
                </c:ext>
              </c:extLst>
            </c:dLbl>
            <c:dLbl>
              <c:idx val="7"/>
              <c:delete val="1"/>
              <c:extLst>
                <c:ext xmlns:c15="http://schemas.microsoft.com/office/drawing/2012/chart" uri="{CE6537A1-D6FC-4f65-9D91-7224C49458BB}"/>
                <c:ext xmlns:c16="http://schemas.microsoft.com/office/drawing/2014/chart" uri="{C3380CC4-5D6E-409C-BE32-E72D297353CC}">
                  <c16:uniqueId val="{0000003C-0A92-4002-A734-67C94E87FA98}"/>
                </c:ext>
              </c:extLst>
            </c:dLbl>
            <c:dLbl>
              <c:idx val="8"/>
              <c:layout>
                <c:manualLayout>
                  <c:x val="3.866068967820236E-2"/>
                  <c:y val="0.1291759818366262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41-0A92-4002-A734-67C94E87FA98}"/>
                </c:ext>
              </c:extLst>
            </c:dLbl>
            <c:dLbl>
              <c:idx val="9"/>
              <c:delete val="1"/>
              <c:extLst>
                <c:ext xmlns:c15="http://schemas.microsoft.com/office/drawing/2012/chart" uri="{CE6537A1-D6FC-4f65-9D91-7224C49458BB}"/>
                <c:ext xmlns:c16="http://schemas.microsoft.com/office/drawing/2014/chart" uri="{C3380CC4-5D6E-409C-BE32-E72D297353CC}">
                  <c16:uniqueId val="{00000046-0A92-4002-A734-67C94E87F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a-DK"/>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'Visualisering af resultat'!$A$318:$A$327</c:f>
              <c:strCache>
                <c:ptCount val="10"/>
                <c:pt idx="0">
                  <c:v>Miljø</c:v>
                </c:pt>
                <c:pt idx="1">
                  <c:v>Miljø</c:v>
                </c:pt>
                <c:pt idx="2">
                  <c:v>Økonomi</c:v>
                </c:pt>
                <c:pt idx="3">
                  <c:v>Økonomi</c:v>
                </c:pt>
                <c:pt idx="4">
                  <c:v>Sociale hensyn</c:v>
                </c:pt>
                <c:pt idx="5">
                  <c:v>Sociale hensyn</c:v>
                </c:pt>
                <c:pt idx="6">
                  <c:v>Teknisk kvalitet</c:v>
                </c:pt>
                <c:pt idx="7">
                  <c:v>Teknisk kvalitet</c:v>
                </c:pt>
                <c:pt idx="8">
                  <c:v>Proces</c:v>
                </c:pt>
                <c:pt idx="9">
                  <c:v>Proces</c:v>
                </c:pt>
              </c:strCache>
            </c:strRef>
          </c:cat>
          <c:val>
            <c:numRef>
              <c:f>'Visualisering af resultat'!$B$318:$B$327</c:f>
              <c:numCache>
                <c:formatCode>0.0%</c:formatCode>
                <c:ptCount val="10"/>
                <c:pt idx="0">
                  <c:v>0</c:v>
                </c:pt>
                <c:pt idx="1">
                  <c:v>0.22297740963855422</c:v>
                </c:pt>
                <c:pt idx="2">
                  <c:v>0</c:v>
                </c:pt>
                <c:pt idx="3">
                  <c:v>0.18658341669717987</c:v>
                </c:pt>
                <c:pt idx="4">
                  <c:v>0</c:v>
                </c:pt>
                <c:pt idx="5">
                  <c:v>0</c:v>
                </c:pt>
                <c:pt idx="6">
                  <c:v>0</c:v>
                </c:pt>
                <c:pt idx="7">
                  <c:v>0.20874745528573507</c:v>
                </c:pt>
                <c:pt idx="8">
                  <c:v>0</c:v>
                </c:pt>
                <c:pt idx="9">
                  <c:v>0.11595410628019323</c:v>
                </c:pt>
              </c:numCache>
            </c:numRef>
          </c:val>
          <c:extLst>
            <c:ext xmlns:c16="http://schemas.microsoft.com/office/drawing/2014/chart" uri="{C3380CC4-5D6E-409C-BE32-E72D297353CC}">
              <c16:uniqueId val="{00000010-0A92-4002-A734-67C94E87FA98}"/>
            </c:ext>
          </c:extLst>
        </c:ser>
        <c:dLbls>
          <c:showLegendKey val="0"/>
          <c:showVal val="0"/>
          <c:showCatName val="0"/>
          <c:showSerName val="0"/>
          <c:showPercent val="1"/>
          <c:showBubbleSize val="0"/>
          <c:showLeaderLines val="1"/>
        </c:dLbls>
        <c:firstSliceAng val="0"/>
      </c:pieChart>
      <c:spPr>
        <a:noFill/>
        <a:ln>
          <a:noFill/>
        </a:ln>
        <a:effectLst/>
      </c:spPr>
    </c:plotArea>
    <c:legend>
      <c:legendPos val="t"/>
      <c:legendEntry>
        <c:idx val="1"/>
        <c:delete val="1"/>
      </c:legendEntry>
      <c:legendEntry>
        <c:idx val="3"/>
        <c:delete val="1"/>
      </c:legendEntry>
      <c:legendEntry>
        <c:idx val="5"/>
        <c:delete val="1"/>
      </c:legendEntry>
      <c:legendEntry>
        <c:idx val="7"/>
        <c:delete val="1"/>
      </c:legendEntry>
      <c:legendEntry>
        <c:idx val="9"/>
        <c:delete val="1"/>
      </c:legendEntry>
      <c:layout>
        <c:manualLayout>
          <c:xMode val="edge"/>
          <c:yMode val="edge"/>
          <c:x val="0.20981009769310022"/>
          <c:y val="8.3656441717791463E-2"/>
          <c:w val="0.64371888204902061"/>
          <c:h val="9.294507511714408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'Visualisering af resultat'!$D$317</c:f>
              <c:strCache>
                <c:ptCount val="1"/>
                <c:pt idx="0">
                  <c:v>Egenvægtning</c:v>
                </c:pt>
              </c:strCache>
            </c:strRef>
          </c:tx>
          <c:dPt>
            <c:idx val="0"/>
            <c:bubble3D val="0"/>
            <c:spPr>
              <a:solidFill>
                <a:schemeClr val="accent1">
                  <a:lumMod val="75000"/>
                </a:schemeClr>
              </a:solidFill>
              <a:ln w="19050">
                <a:solidFill>
                  <a:schemeClr val="accent1">
                    <a:lumMod val="75000"/>
                  </a:schemeClr>
                </a:solidFill>
              </a:ln>
              <a:effectLst/>
            </c:spPr>
            <c:extLst>
              <c:ext xmlns:c16="http://schemas.microsoft.com/office/drawing/2014/chart" uri="{C3380CC4-5D6E-409C-BE32-E72D297353CC}">
                <c16:uniqueId val="{00000001-AAE3-4B31-A86E-4ACC37055007}"/>
              </c:ext>
            </c:extLst>
          </c:dPt>
          <c:dPt>
            <c:idx val="1"/>
            <c:bubble3D val="0"/>
            <c:spPr>
              <a:pattFill prst="ltDnDiag">
                <a:fgClr>
                  <a:schemeClr val="accent1">
                    <a:lumMod val="75000"/>
                  </a:schemeClr>
                </a:fgClr>
                <a:bgClr>
                  <a:schemeClr val="accent1">
                    <a:lumMod val="20000"/>
                    <a:lumOff val="80000"/>
                  </a:schemeClr>
                </a:bgClr>
              </a:pattFill>
              <a:ln w="19050">
                <a:solidFill>
                  <a:schemeClr val="accent1">
                    <a:lumMod val="20000"/>
                    <a:lumOff val="80000"/>
                  </a:schemeClr>
                </a:solidFill>
              </a:ln>
              <a:effectLst/>
            </c:spPr>
            <c:extLst>
              <c:ext xmlns:c16="http://schemas.microsoft.com/office/drawing/2014/chart" uri="{C3380CC4-5D6E-409C-BE32-E72D297353CC}">
                <c16:uniqueId val="{00000003-AAE3-4B31-A86E-4ACC37055007}"/>
              </c:ext>
            </c:extLst>
          </c:dPt>
          <c:dPt>
            <c:idx val="2"/>
            <c:bubble3D val="0"/>
            <c:spPr>
              <a:solidFill>
                <a:schemeClr val="accent3">
                  <a:lumMod val="50000"/>
                </a:schemeClr>
              </a:solidFill>
              <a:ln w="19050">
                <a:solidFill>
                  <a:schemeClr val="accent3">
                    <a:lumMod val="50000"/>
                  </a:schemeClr>
                </a:solidFill>
              </a:ln>
              <a:effectLst/>
            </c:spPr>
            <c:extLst>
              <c:ext xmlns:c16="http://schemas.microsoft.com/office/drawing/2014/chart" uri="{C3380CC4-5D6E-409C-BE32-E72D297353CC}">
                <c16:uniqueId val="{00000005-AAE3-4B31-A86E-4ACC37055007}"/>
              </c:ext>
            </c:extLst>
          </c:dPt>
          <c:dPt>
            <c:idx val="3"/>
            <c:bubble3D val="0"/>
            <c:spPr>
              <a:pattFill prst="ltDnDiag">
                <a:fgClr>
                  <a:schemeClr val="accent3">
                    <a:lumMod val="50000"/>
                  </a:schemeClr>
                </a:fgClr>
                <a:bgClr>
                  <a:schemeClr val="accent3">
                    <a:lumMod val="40000"/>
                    <a:lumOff val="60000"/>
                  </a:schemeClr>
                </a:bgClr>
              </a:pattFill>
              <a:ln w="19050">
                <a:solidFill>
                  <a:schemeClr val="accent3">
                    <a:lumMod val="60000"/>
                    <a:lumOff val="40000"/>
                  </a:schemeClr>
                </a:solidFill>
              </a:ln>
              <a:effectLst/>
            </c:spPr>
            <c:extLst>
              <c:ext xmlns:c16="http://schemas.microsoft.com/office/drawing/2014/chart" uri="{C3380CC4-5D6E-409C-BE32-E72D297353CC}">
                <c16:uniqueId val="{00000007-AAE3-4B31-A86E-4ACC37055007}"/>
              </c:ext>
            </c:extLst>
          </c:dPt>
          <c:dPt>
            <c:idx val="4"/>
            <c:bubble3D val="0"/>
            <c:spPr>
              <a:solidFill>
                <a:schemeClr val="accent2"/>
              </a:solidFill>
              <a:ln w="19050">
                <a:solidFill>
                  <a:schemeClr val="accent2"/>
                </a:solidFill>
              </a:ln>
              <a:effectLst/>
            </c:spPr>
            <c:extLst>
              <c:ext xmlns:c16="http://schemas.microsoft.com/office/drawing/2014/chart" uri="{C3380CC4-5D6E-409C-BE32-E72D297353CC}">
                <c16:uniqueId val="{00000009-AAE3-4B31-A86E-4ACC37055007}"/>
              </c:ext>
            </c:extLst>
          </c:dPt>
          <c:dPt>
            <c:idx val="5"/>
            <c:bubble3D val="0"/>
            <c:spPr>
              <a:pattFill prst="ltDnDiag">
                <a:fgClr>
                  <a:schemeClr val="accent2"/>
                </a:fgClr>
                <a:bgClr>
                  <a:schemeClr val="accent2">
                    <a:lumMod val="20000"/>
                    <a:lumOff val="80000"/>
                  </a:schemeClr>
                </a:bgClr>
              </a:pattFill>
              <a:ln w="19050">
                <a:solidFill>
                  <a:schemeClr val="accent2">
                    <a:lumMod val="20000"/>
                    <a:lumOff val="80000"/>
                  </a:schemeClr>
                </a:solidFill>
              </a:ln>
              <a:effectLst/>
            </c:spPr>
            <c:extLst>
              <c:ext xmlns:c16="http://schemas.microsoft.com/office/drawing/2014/chart" uri="{C3380CC4-5D6E-409C-BE32-E72D297353CC}">
                <c16:uniqueId val="{0000000B-AAE3-4B31-A86E-4ACC37055007}"/>
              </c:ext>
            </c:extLst>
          </c:dPt>
          <c:dPt>
            <c:idx val="6"/>
            <c:bubble3D val="0"/>
            <c:spPr>
              <a:solidFill>
                <a:schemeClr val="accent6">
                  <a:lumMod val="75000"/>
                </a:schemeClr>
              </a:solidFill>
              <a:ln w="19050">
                <a:solidFill>
                  <a:schemeClr val="accent6">
                    <a:lumMod val="75000"/>
                  </a:schemeClr>
                </a:solidFill>
              </a:ln>
              <a:effectLst/>
            </c:spPr>
            <c:extLst>
              <c:ext xmlns:c16="http://schemas.microsoft.com/office/drawing/2014/chart" uri="{C3380CC4-5D6E-409C-BE32-E72D297353CC}">
                <c16:uniqueId val="{0000000D-AAE3-4B31-A86E-4ACC37055007}"/>
              </c:ext>
            </c:extLst>
          </c:dPt>
          <c:dPt>
            <c:idx val="7"/>
            <c:bubble3D val="0"/>
            <c:spPr>
              <a:pattFill prst="ltDnDiag">
                <a:fgClr>
                  <a:schemeClr val="accent6">
                    <a:lumMod val="75000"/>
                  </a:schemeClr>
                </a:fgClr>
                <a:bgClr>
                  <a:schemeClr val="accent6">
                    <a:lumMod val="20000"/>
                    <a:lumOff val="80000"/>
                  </a:schemeClr>
                </a:bgClr>
              </a:pattFill>
              <a:ln w="19050">
                <a:solidFill>
                  <a:schemeClr val="accent6">
                    <a:lumMod val="40000"/>
                    <a:lumOff val="60000"/>
                  </a:schemeClr>
                </a:solidFill>
              </a:ln>
              <a:effectLst/>
            </c:spPr>
            <c:extLst>
              <c:ext xmlns:c16="http://schemas.microsoft.com/office/drawing/2014/chart" uri="{C3380CC4-5D6E-409C-BE32-E72D297353CC}">
                <c16:uniqueId val="{0000000F-AAE3-4B31-A86E-4ACC37055007}"/>
              </c:ext>
            </c:extLst>
          </c:dPt>
          <c:dPt>
            <c:idx val="8"/>
            <c:bubble3D val="0"/>
            <c:spPr>
              <a:solidFill>
                <a:schemeClr val="accent4">
                  <a:lumMod val="75000"/>
                </a:schemeClr>
              </a:solidFill>
              <a:ln w="19050">
                <a:solidFill>
                  <a:schemeClr val="accent4">
                    <a:lumMod val="75000"/>
                  </a:schemeClr>
                </a:solidFill>
              </a:ln>
              <a:effectLst/>
            </c:spPr>
            <c:extLst>
              <c:ext xmlns:c16="http://schemas.microsoft.com/office/drawing/2014/chart" uri="{C3380CC4-5D6E-409C-BE32-E72D297353CC}">
                <c16:uniqueId val="{00000011-AAE3-4B31-A86E-4ACC37055007}"/>
              </c:ext>
            </c:extLst>
          </c:dPt>
          <c:dPt>
            <c:idx val="9"/>
            <c:bubble3D val="0"/>
            <c:spPr>
              <a:pattFill prst="ltDnDiag">
                <a:fgClr>
                  <a:schemeClr val="accent4">
                    <a:lumMod val="75000"/>
                  </a:schemeClr>
                </a:fgClr>
                <a:bgClr>
                  <a:schemeClr val="accent4">
                    <a:lumMod val="20000"/>
                    <a:lumOff val="80000"/>
                  </a:schemeClr>
                </a:bgClr>
              </a:pattFill>
              <a:ln w="19050">
                <a:solidFill>
                  <a:schemeClr val="accent4">
                    <a:lumMod val="40000"/>
                    <a:lumOff val="60000"/>
                  </a:schemeClr>
                </a:solidFill>
              </a:ln>
              <a:effectLst/>
            </c:spPr>
            <c:extLst>
              <c:ext xmlns:c16="http://schemas.microsoft.com/office/drawing/2014/chart" uri="{C3380CC4-5D6E-409C-BE32-E72D297353CC}">
                <c16:uniqueId val="{00000013-AAE3-4B31-A86E-4ACC37055007}"/>
              </c:ext>
            </c:extLst>
          </c:dPt>
          <c:dLbls>
            <c:dLbl>
              <c:idx val="0"/>
              <c:layout>
                <c:manualLayout>
                  <c:x val="-4.7700787401574803E-2"/>
                  <c:y val="0.1509384087725232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E3-4B31-A86E-4ACC37055007}"/>
                </c:ext>
              </c:extLst>
            </c:dLbl>
            <c:dLbl>
              <c:idx val="1"/>
              <c:delete val="1"/>
              <c:extLst>
                <c:ext xmlns:c15="http://schemas.microsoft.com/office/drawing/2012/chart" uri="{CE6537A1-D6FC-4f65-9D91-7224C49458BB}"/>
                <c:ext xmlns:c16="http://schemas.microsoft.com/office/drawing/2014/chart" uri="{C3380CC4-5D6E-409C-BE32-E72D297353CC}">
                  <c16:uniqueId val="{00000003-AAE3-4B31-A86E-4ACC37055007}"/>
                </c:ext>
              </c:extLst>
            </c:dLbl>
            <c:dLbl>
              <c:idx val="2"/>
              <c:layout>
                <c:manualLayout>
                  <c:x val="-8.7787134659015068E-2"/>
                  <c:y val="2.808598618424230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E3-4B31-A86E-4ACC37055007}"/>
                </c:ext>
              </c:extLst>
            </c:dLbl>
            <c:dLbl>
              <c:idx val="3"/>
              <c:delete val="1"/>
              <c:extLst>
                <c:ext xmlns:c15="http://schemas.microsoft.com/office/drawing/2012/chart" uri="{CE6537A1-D6FC-4f65-9D91-7224C49458BB}"/>
                <c:ext xmlns:c16="http://schemas.microsoft.com/office/drawing/2014/chart" uri="{C3380CC4-5D6E-409C-BE32-E72D297353CC}">
                  <c16:uniqueId val="{00000007-AAE3-4B31-A86E-4ACC37055007}"/>
                </c:ext>
              </c:extLst>
            </c:dLbl>
            <c:dLbl>
              <c:idx val="4"/>
              <c:layout>
                <c:manualLayout>
                  <c:x val="-9.6458694781796347E-2"/>
                  <c:y val="-0.1435482343848123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E3-4B31-A86E-4ACC37055007}"/>
                </c:ext>
              </c:extLst>
            </c:dLbl>
            <c:dLbl>
              <c:idx val="5"/>
              <c:delete val="1"/>
              <c:extLst>
                <c:ext xmlns:c15="http://schemas.microsoft.com/office/drawing/2012/chart" uri="{CE6537A1-D6FC-4f65-9D91-7224C49458BB}"/>
                <c:ext xmlns:c16="http://schemas.microsoft.com/office/drawing/2014/chart" uri="{C3380CC4-5D6E-409C-BE32-E72D297353CC}">
                  <c16:uniqueId val="{0000000B-AAE3-4B31-A86E-4ACC37055007}"/>
                </c:ext>
              </c:extLst>
            </c:dLbl>
            <c:dLbl>
              <c:idx val="6"/>
              <c:layout>
                <c:manualLayout>
                  <c:x val="9.9671426664887236E-2"/>
                  <c:y val="-0.1120023187285638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E3-4B31-A86E-4ACC37055007}"/>
                </c:ext>
              </c:extLst>
            </c:dLbl>
            <c:dLbl>
              <c:idx val="7"/>
              <c:delete val="1"/>
              <c:extLst>
                <c:ext xmlns:c15="http://schemas.microsoft.com/office/drawing/2012/chart" uri="{CE6537A1-D6FC-4f65-9D91-7224C49458BB}"/>
                <c:ext xmlns:c16="http://schemas.microsoft.com/office/drawing/2014/chart" uri="{C3380CC4-5D6E-409C-BE32-E72D297353CC}">
                  <c16:uniqueId val="{0000000F-AAE3-4B31-A86E-4ACC37055007}"/>
                </c:ext>
              </c:extLst>
            </c:dLbl>
            <c:dLbl>
              <c:idx val="8"/>
              <c:layout>
                <c:manualLayout>
                  <c:x val="0.12679634325370345"/>
                  <c:y val="9.236616588570592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AE3-4B31-A86E-4ACC37055007}"/>
                </c:ext>
              </c:extLst>
            </c:dLbl>
            <c:dLbl>
              <c:idx val="9"/>
              <c:delete val="1"/>
              <c:extLst>
                <c:ext xmlns:c15="http://schemas.microsoft.com/office/drawing/2012/chart" uri="{CE6537A1-D6FC-4f65-9D91-7224C49458BB}"/>
                <c:ext xmlns:c16="http://schemas.microsoft.com/office/drawing/2014/chart" uri="{C3380CC4-5D6E-409C-BE32-E72D297353CC}">
                  <c16:uniqueId val="{00000013-AAE3-4B31-A86E-4ACC3705500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a-DK"/>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'Visualisering af resultat'!$A$318:$A$327</c:f>
              <c:strCache>
                <c:ptCount val="10"/>
                <c:pt idx="0">
                  <c:v>Miljø</c:v>
                </c:pt>
                <c:pt idx="1">
                  <c:v>Miljø</c:v>
                </c:pt>
                <c:pt idx="2">
                  <c:v>Økonomi</c:v>
                </c:pt>
                <c:pt idx="3">
                  <c:v>Økonomi</c:v>
                </c:pt>
                <c:pt idx="4">
                  <c:v>Sociale hensyn</c:v>
                </c:pt>
                <c:pt idx="5">
                  <c:v>Sociale hensyn</c:v>
                </c:pt>
                <c:pt idx="6">
                  <c:v>Teknisk kvalitet</c:v>
                </c:pt>
                <c:pt idx="7">
                  <c:v>Teknisk kvalitet</c:v>
                </c:pt>
                <c:pt idx="8">
                  <c:v>Proces</c:v>
                </c:pt>
                <c:pt idx="9">
                  <c:v>Proces</c:v>
                </c:pt>
              </c:strCache>
            </c:strRef>
          </c:cat>
          <c:val>
            <c:numRef>
              <c:f>'Visualisering af resultat'!$D$318:$D$327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AAE3-4B31-A86E-4ACC37055007}"/>
            </c:ext>
          </c:extLst>
        </c:ser>
        <c:dLbls>
          <c:showLegendKey val="0"/>
          <c:showVal val="0"/>
          <c:showCatName val="0"/>
          <c:showSerName val="0"/>
          <c:showPercent val="1"/>
          <c:showBubbleSize val="0"/>
          <c:showLeaderLines val="1"/>
        </c:dLbls>
        <c:firstSliceAng val="0"/>
      </c:pieChart>
      <c:spPr>
        <a:noFill/>
        <a:ln>
          <a:noFill/>
        </a:ln>
        <a:effectLst/>
      </c:spPr>
    </c:plotArea>
    <c:legend>
      <c:legendPos val="t"/>
      <c:legendEntry>
        <c:idx val="1"/>
        <c:delete val="1"/>
      </c:legendEntry>
      <c:legendEntry>
        <c:idx val="3"/>
        <c:delete val="1"/>
      </c:legendEntry>
      <c:legendEntry>
        <c:idx val="5"/>
        <c:delete val="1"/>
      </c:legendEntry>
      <c:legendEntry>
        <c:idx val="7"/>
        <c:delete val="1"/>
      </c:legendEntry>
      <c:legendEntry>
        <c:idx val="9"/>
        <c:delete val="1"/>
      </c:legendEntry>
      <c:layout>
        <c:manualLayout>
          <c:xMode val="edge"/>
          <c:yMode val="edge"/>
          <c:x val="0.20981009769310022"/>
          <c:y val="8.3656441717791463E-2"/>
          <c:w val="0.64371888204902061"/>
          <c:h val="9.294507511714408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Kvalitetsscore ift. DGNB certificering</a:t>
            </a:r>
          </a:p>
        </c:rich>
      </c:tx>
      <c:overlay val="0"/>
      <c:spPr>
        <a:noFill/>
        <a:ln>
          <a:noFill/>
        </a:ln>
        <a:effectLst/>
      </c:spPr>
    </c:title>
    <c:autoTitleDeleted val="0"/>
    <c:plotArea>
      <c:layout/>
      <c:barChart>
        <c:barDir val="col"/>
        <c:grouping val="clustered"/>
        <c:varyColors val="0"/>
        <c:ser>
          <c:idx val="0"/>
          <c:order val="0"/>
          <c:tx>
            <c:v>Kvalitetvægtet score</c:v>
          </c:tx>
          <c:spPr>
            <a:solidFill>
              <a:schemeClr val="accent1">
                <a:lumMod val="75000"/>
              </a:schemeClr>
            </a:solidFill>
            <a:ln>
              <a:solidFill>
                <a:schemeClr val="accent1">
                  <a:lumMod val="75000"/>
                </a:schemeClr>
              </a:solidFill>
            </a:ln>
            <a:effectLst/>
          </c:spPr>
          <c:invertIfNegative val="0"/>
          <c:cat>
            <c:strRef>
              <c:f>'Visualisering af resultat'!$A$330:$A$334</c:f>
              <c:strCache>
                <c:ptCount val="5"/>
                <c:pt idx="0">
                  <c:v>Miljø</c:v>
                </c:pt>
                <c:pt idx="1">
                  <c:v>Økonomi</c:v>
                </c:pt>
                <c:pt idx="2">
                  <c:v>Sociale hensyn</c:v>
                </c:pt>
                <c:pt idx="3">
                  <c:v>Teknisk kvalitet</c:v>
                </c:pt>
                <c:pt idx="4">
                  <c:v>Proces</c:v>
                </c:pt>
              </c:strCache>
            </c:strRef>
          </c:cat>
          <c:val>
            <c:numRef>
              <c:f>'Visualisering af resultat'!$B$330:$B$334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2EB-4DEA-AC9F-5FBAA815399C}"/>
            </c:ext>
          </c:extLst>
        </c:ser>
        <c:dLbls>
          <c:showLegendKey val="0"/>
          <c:showVal val="0"/>
          <c:showCatName val="0"/>
          <c:showSerName val="0"/>
          <c:showPercent val="0"/>
          <c:showBubbleSize val="0"/>
        </c:dLbls>
        <c:gapWidth val="75"/>
        <c:overlap val="-25"/>
        <c:axId val="814847024"/>
        <c:axId val="814847584"/>
      </c:barChart>
      <c:lineChart>
        <c:grouping val="standard"/>
        <c:varyColors val="0"/>
        <c:ser>
          <c:idx val="3"/>
          <c:order val="1"/>
          <c:tx>
            <c:strRef>
              <c:f>'Visualisering af resultat'!$C$329</c:f>
              <c:strCache>
                <c:ptCount val="1"/>
                <c:pt idx="0">
                  <c:v>DGNB Platin</c:v>
                </c:pt>
              </c:strCache>
            </c:strRef>
          </c:tx>
          <c:spPr>
            <a:ln w="28575" cap="rnd">
              <a:solidFill>
                <a:schemeClr val="tx1">
                  <a:lumMod val="50000"/>
                  <a:lumOff val="50000"/>
                </a:schemeClr>
              </a:solidFill>
              <a:round/>
            </a:ln>
            <a:effectLst/>
          </c:spPr>
          <c:marker>
            <c:symbol val="none"/>
          </c:marker>
          <c:val>
            <c:numRef>
              <c:f>'Visualisering af resultat'!$C$330:$C$334</c:f>
              <c:numCache>
                <c:formatCode>0%</c:formatCode>
                <c:ptCount val="5"/>
                <c:pt idx="0">
                  <c:v>0.65</c:v>
                </c:pt>
                <c:pt idx="1">
                  <c:v>0.65</c:v>
                </c:pt>
                <c:pt idx="2">
                  <c:v>0.65</c:v>
                </c:pt>
                <c:pt idx="3">
                  <c:v>0.65</c:v>
                </c:pt>
                <c:pt idx="4">
                  <c:v>0.65</c:v>
                </c:pt>
              </c:numCache>
            </c:numRef>
          </c:val>
          <c:smooth val="0"/>
          <c:extLst>
            <c:ext xmlns:c16="http://schemas.microsoft.com/office/drawing/2014/chart" uri="{C3380CC4-5D6E-409C-BE32-E72D297353CC}">
              <c16:uniqueId val="{00000002-F17D-4BF7-BB8B-78B8334F1307}"/>
            </c:ext>
          </c:extLst>
        </c:ser>
        <c:ser>
          <c:idx val="2"/>
          <c:order val="2"/>
          <c:tx>
            <c:strRef>
              <c:f>'Visualisering af resultat'!$D$329</c:f>
              <c:strCache>
                <c:ptCount val="1"/>
                <c:pt idx="0">
                  <c:v>DGNB Guld </c:v>
                </c:pt>
              </c:strCache>
            </c:strRef>
          </c:tx>
          <c:spPr>
            <a:ln w="28575" cap="rnd">
              <a:solidFill>
                <a:schemeClr val="bg2">
                  <a:lumMod val="50000"/>
                </a:schemeClr>
              </a:solidFill>
              <a:round/>
            </a:ln>
            <a:effectLst>
              <a:glow>
                <a:schemeClr val="accent1"/>
              </a:glow>
            </a:effectLst>
          </c:spPr>
          <c:marker>
            <c:symbol val="none"/>
          </c:marker>
          <c:val>
            <c:numRef>
              <c:f>'Visualisering af resultat'!$D$330:$D$334</c:f>
              <c:numCache>
                <c:formatCode>0%</c:formatCode>
                <c:ptCount val="5"/>
                <c:pt idx="0">
                  <c:v>0.5</c:v>
                </c:pt>
                <c:pt idx="1">
                  <c:v>0.5</c:v>
                </c:pt>
                <c:pt idx="2">
                  <c:v>0.5</c:v>
                </c:pt>
                <c:pt idx="3">
                  <c:v>0.5</c:v>
                </c:pt>
                <c:pt idx="4">
                  <c:v>0.5</c:v>
                </c:pt>
              </c:numCache>
            </c:numRef>
          </c:val>
          <c:smooth val="0"/>
          <c:extLst>
            <c:ext xmlns:c16="http://schemas.microsoft.com/office/drawing/2014/chart" uri="{C3380CC4-5D6E-409C-BE32-E72D297353CC}">
              <c16:uniqueId val="{00000001-F17D-4BF7-BB8B-78B8334F1307}"/>
            </c:ext>
          </c:extLst>
        </c:ser>
        <c:ser>
          <c:idx val="1"/>
          <c:order val="3"/>
          <c:tx>
            <c:strRef>
              <c:f>'Visualisering af resultat'!$E$329</c:f>
              <c:strCache>
                <c:ptCount val="1"/>
                <c:pt idx="0">
                  <c:v>DGNB Sølv</c:v>
                </c:pt>
              </c:strCache>
            </c:strRef>
          </c:tx>
          <c:spPr>
            <a:ln w="28575" cap="rnd">
              <a:solidFill>
                <a:schemeClr val="bg1">
                  <a:lumMod val="75000"/>
                </a:schemeClr>
              </a:solidFill>
              <a:round/>
            </a:ln>
            <a:effectLst/>
          </c:spPr>
          <c:marker>
            <c:symbol val="none"/>
          </c:marker>
          <c:val>
            <c:numRef>
              <c:f>'Visualisering af resultat'!$E$330:$E$334</c:f>
              <c:numCache>
                <c:formatCode>0%</c:formatCode>
                <c:ptCount val="5"/>
                <c:pt idx="0">
                  <c:v>0.35</c:v>
                </c:pt>
                <c:pt idx="1">
                  <c:v>0.35</c:v>
                </c:pt>
                <c:pt idx="2">
                  <c:v>0.35</c:v>
                </c:pt>
                <c:pt idx="3">
                  <c:v>0.35</c:v>
                </c:pt>
                <c:pt idx="4">
                  <c:v>0.35</c:v>
                </c:pt>
              </c:numCache>
            </c:numRef>
          </c:val>
          <c:smooth val="0"/>
          <c:extLst>
            <c:ext xmlns:c16="http://schemas.microsoft.com/office/drawing/2014/chart" uri="{C3380CC4-5D6E-409C-BE32-E72D297353CC}">
              <c16:uniqueId val="{00000000-F17D-4BF7-BB8B-78B8334F1307}"/>
            </c:ext>
          </c:extLst>
        </c:ser>
        <c:dLbls>
          <c:showLegendKey val="0"/>
          <c:showVal val="0"/>
          <c:showCatName val="0"/>
          <c:showSerName val="0"/>
          <c:showPercent val="0"/>
          <c:showBubbleSize val="0"/>
        </c:dLbls>
        <c:marker val="1"/>
        <c:smooth val="0"/>
        <c:axId val="814847024"/>
        <c:axId val="814847584"/>
      </c:lineChart>
      <c:catAx>
        <c:axId val="81484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4847584"/>
        <c:crosses val="autoZero"/>
        <c:auto val="1"/>
        <c:lblAlgn val="ctr"/>
        <c:lblOffset val="100"/>
        <c:noMultiLvlLbl val="0"/>
      </c:catAx>
      <c:valAx>
        <c:axId val="814847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Kvalitetsscore</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4847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'Visualisering af resultat'!$B$317</c:f>
              <c:strCache>
                <c:ptCount val="1"/>
                <c:pt idx="0">
                  <c:v>DGNB</c:v>
                </c:pt>
              </c:strCache>
            </c:strRef>
          </c:tx>
          <c:dPt>
            <c:idx val="0"/>
            <c:bubble3D val="0"/>
            <c:spPr>
              <a:solidFill>
                <a:schemeClr val="accent1">
                  <a:lumMod val="75000"/>
                </a:schemeClr>
              </a:solidFill>
              <a:ln w="19050">
                <a:solidFill>
                  <a:schemeClr val="accent1">
                    <a:lumMod val="75000"/>
                  </a:schemeClr>
                </a:solidFill>
              </a:ln>
              <a:effectLst/>
            </c:spPr>
            <c:extLst>
              <c:ext xmlns:c16="http://schemas.microsoft.com/office/drawing/2014/chart" uri="{C3380CC4-5D6E-409C-BE32-E72D297353CC}">
                <c16:uniqueId val="{00000006-8455-474E-93DD-2D0976F991BF}"/>
              </c:ext>
            </c:extLst>
          </c:dPt>
          <c:dPt>
            <c:idx val="1"/>
            <c:bubble3D val="0"/>
            <c:spPr>
              <a:solidFill>
                <a:schemeClr val="accent3">
                  <a:lumMod val="50000"/>
                </a:schemeClr>
              </a:solidFill>
              <a:ln w="19050">
                <a:solidFill>
                  <a:schemeClr val="accent3">
                    <a:lumMod val="50000"/>
                  </a:schemeClr>
                </a:solidFill>
              </a:ln>
              <a:effectLst/>
            </c:spPr>
            <c:extLst>
              <c:ext xmlns:c16="http://schemas.microsoft.com/office/drawing/2014/chart" uri="{C3380CC4-5D6E-409C-BE32-E72D297353CC}">
                <c16:uniqueId val="{00000003-7C0A-41AF-AF91-A7929B92CD78}"/>
              </c:ext>
            </c:extLst>
          </c:dPt>
          <c:dPt>
            <c:idx val="2"/>
            <c:bubble3D val="0"/>
            <c:spPr>
              <a:solidFill>
                <a:schemeClr val="accent2"/>
              </a:solidFill>
              <a:ln w="19050">
                <a:solidFill>
                  <a:schemeClr val="accent2"/>
                </a:solidFill>
              </a:ln>
              <a:effectLst/>
            </c:spPr>
            <c:extLst>
              <c:ext xmlns:c16="http://schemas.microsoft.com/office/drawing/2014/chart" uri="{C3380CC4-5D6E-409C-BE32-E72D297353CC}">
                <c16:uniqueId val="{00000005-7C0A-41AF-AF91-A7929B92CD78}"/>
              </c:ext>
            </c:extLst>
          </c:dPt>
          <c:dPt>
            <c:idx val="3"/>
            <c:bubble3D val="0"/>
            <c:spPr>
              <a:solidFill>
                <a:schemeClr val="accent6">
                  <a:lumMod val="75000"/>
                </a:schemeClr>
              </a:solidFill>
              <a:ln w="19050">
                <a:solidFill>
                  <a:schemeClr val="accent6">
                    <a:lumMod val="75000"/>
                  </a:schemeClr>
                </a:solidFill>
              </a:ln>
              <a:effectLst/>
            </c:spPr>
            <c:extLst>
              <c:ext xmlns:c16="http://schemas.microsoft.com/office/drawing/2014/chart" uri="{C3380CC4-5D6E-409C-BE32-E72D297353CC}">
                <c16:uniqueId val="{00000007-7C0A-41AF-AF91-A7929B92CD78}"/>
              </c:ext>
            </c:extLst>
          </c:dPt>
          <c:dPt>
            <c:idx val="4"/>
            <c:bubble3D val="0"/>
            <c:spPr>
              <a:solidFill>
                <a:schemeClr val="accent4">
                  <a:lumMod val="75000"/>
                </a:schemeClr>
              </a:solidFill>
              <a:ln w="19050">
                <a:solidFill>
                  <a:schemeClr val="accent4">
                    <a:lumMod val="75000"/>
                  </a:schemeClr>
                </a:solidFill>
              </a:ln>
              <a:effectLst/>
            </c:spPr>
            <c:extLst>
              <c:ext xmlns:c16="http://schemas.microsoft.com/office/drawing/2014/chart" uri="{C3380CC4-5D6E-409C-BE32-E72D297353CC}">
                <c16:uniqueId val="{00000009-7C0A-41AF-AF91-A7929B92CD78}"/>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a-DK"/>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'Visualisering af resultat'!$A$318:$A$327</c15:sqref>
                  </c15:fullRef>
                </c:ext>
              </c:extLst>
              <c:f>('Visualisering af resultat'!$A$318,'Visualisering af resultat'!$A$320,'Visualisering af resultat'!$A$322,'Visualisering af resultat'!$A$324,'Visualisering af resultat'!$A$326)</c:f>
              <c:strCache>
                <c:ptCount val="5"/>
                <c:pt idx="0">
                  <c:v>Miljø</c:v>
                </c:pt>
                <c:pt idx="1">
                  <c:v>Økonomi</c:v>
                </c:pt>
                <c:pt idx="2">
                  <c:v>Sociale hensyn</c:v>
                </c:pt>
                <c:pt idx="3">
                  <c:v>Teknisk kvalitet</c:v>
                </c:pt>
                <c:pt idx="4">
                  <c:v>Proces</c:v>
                </c:pt>
              </c:strCache>
            </c:strRef>
          </c:cat>
          <c:val>
            <c:numRef>
              <c:extLst>
                <c:ext xmlns:c15="http://schemas.microsoft.com/office/drawing/2012/chart" uri="{02D57815-91ED-43cb-92C2-25804820EDAC}">
                  <c15:fullRef>
                    <c15:sqref>'Visualisering af resultat'!$B$318:$B$327</c15:sqref>
                  </c15:fullRef>
                </c:ext>
              </c:extLst>
              <c:f>('Visualisering af resultat'!$B$318,'Visualisering af resultat'!$B$320,'Visualisering af resultat'!$B$322,'Visualisering af resultat'!$B$324,'Visualisering af resultat'!$B$326)</c:f>
              <c:numCache>
                <c:formatCode>0.0%</c:formatCode>
                <c:ptCount val="5"/>
                <c:pt idx="0">
                  <c:v>0</c:v>
                </c:pt>
                <c:pt idx="1">
                  <c:v>0</c:v>
                </c:pt>
                <c:pt idx="2">
                  <c:v>0</c:v>
                </c:pt>
                <c:pt idx="3">
                  <c:v>0</c:v>
                </c:pt>
                <c:pt idx="4">
                  <c:v>0</c:v>
                </c:pt>
              </c:numCache>
            </c:numRef>
          </c:val>
          <c:extLst>
            <c:ext xmlns:c15="http://schemas.microsoft.com/office/drawing/2012/chart" uri="{02D57815-91ED-43cb-92C2-25804820EDAC}">
              <c15:categoryFilterExceptions>
                <c15:categoryFilterException>
                  <c15:sqref>'Visualisering af resultat'!$B$319</c15:sqref>
                  <c15:spPr xmlns:c15="http://schemas.microsoft.com/office/drawing/2012/chart">
                    <a:solidFill>
                      <a:schemeClr val="accent2"/>
                    </a:solidFill>
                    <a:ln w="19050">
                      <a:solidFill>
                        <a:schemeClr val="lt1"/>
                      </a:solidFill>
                    </a:ln>
                    <a:effectLst/>
                  </c15:spPr>
                  <c15:bubble3D val="0"/>
                </c15:categoryFilterException>
                <c15:categoryFilterException>
                  <c15:sqref>'Visualisering af resultat'!$B$321</c15:sqref>
                  <c15:spPr xmlns:c15="http://schemas.microsoft.com/office/drawing/2012/chart">
                    <a:solidFill>
                      <a:schemeClr val="accent4"/>
                    </a:solidFill>
                    <a:ln w="19050">
                      <a:solidFill>
                        <a:schemeClr val="lt1"/>
                      </a:solidFill>
                    </a:ln>
                    <a:effectLst/>
                  </c15:spPr>
                  <c15:bubble3D val="0"/>
                </c15:categoryFilterException>
                <c15:categoryFilterException>
                  <c15:sqref>'Visualisering af resultat'!$B$323</c15:sqref>
                  <c15:spPr xmlns:c15="http://schemas.microsoft.com/office/drawing/2012/chart">
                    <a:solidFill>
                      <a:schemeClr val="accent6"/>
                    </a:solidFill>
                    <a:ln w="19050">
                      <a:solidFill>
                        <a:schemeClr val="lt1"/>
                      </a:solidFill>
                    </a:ln>
                    <a:effectLst/>
                  </c15:spPr>
                  <c15:bubble3D val="0"/>
                </c15:categoryFilterException>
                <c15:categoryFilterException>
                  <c15:sqref>'Visualisering af resultat'!$B$325</c15:sqref>
                  <c15:spPr xmlns:c15="http://schemas.microsoft.com/office/drawing/2012/chart">
                    <a:solidFill>
                      <a:schemeClr val="accent2">
                        <a:lumMod val="60000"/>
                      </a:schemeClr>
                    </a:solidFill>
                    <a:ln w="19050">
                      <a:solidFill>
                        <a:schemeClr val="lt1"/>
                      </a:solidFill>
                    </a:ln>
                    <a:effectLst/>
                  </c15:spPr>
                  <c15:bubble3D val="0"/>
                </c15:categoryFilterException>
                <c15:categoryFilterException>
                  <c15:sqref>'Visualisering af resultat'!$B$327</c15:sqref>
                  <c15:spPr xmlns:c15="http://schemas.microsoft.com/office/drawing/2012/chart">
                    <a:solidFill>
                      <a:schemeClr val="accent4">
                        <a:lumMod val="6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8455-474E-93DD-2D0976F991BF}"/>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'Visualisering af resultat'!$D$317</c:f>
              <c:strCache>
                <c:ptCount val="1"/>
                <c:pt idx="0">
                  <c:v>Egenvægtning</c:v>
                </c:pt>
              </c:strCache>
            </c:strRef>
          </c:tx>
          <c:dPt>
            <c:idx val="0"/>
            <c:bubble3D val="0"/>
            <c:spPr>
              <a:solidFill>
                <a:schemeClr val="accent1">
                  <a:lumMod val="75000"/>
                </a:schemeClr>
              </a:solidFill>
              <a:ln w="19050">
                <a:solidFill>
                  <a:schemeClr val="accent1">
                    <a:lumMod val="75000"/>
                  </a:schemeClr>
                </a:solidFill>
              </a:ln>
              <a:effectLst/>
            </c:spPr>
            <c:extLst>
              <c:ext xmlns:c16="http://schemas.microsoft.com/office/drawing/2014/chart" uri="{C3380CC4-5D6E-409C-BE32-E72D297353CC}">
                <c16:uniqueId val="{00000001-16FF-4F99-B773-6AF61C14AC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34-44DA-A71D-F0DDEB271B04}"/>
              </c:ext>
            </c:extLst>
          </c:dPt>
          <c:dPt>
            <c:idx val="2"/>
            <c:bubble3D val="0"/>
            <c:spPr>
              <a:solidFill>
                <a:schemeClr val="accent3">
                  <a:lumMod val="50000"/>
                </a:schemeClr>
              </a:solidFill>
              <a:ln w="19050">
                <a:solidFill>
                  <a:schemeClr val="accent3">
                    <a:lumMod val="50000"/>
                  </a:schemeClr>
                </a:solidFill>
              </a:ln>
              <a:effectLst/>
            </c:spPr>
            <c:extLst>
              <c:ext xmlns:c16="http://schemas.microsoft.com/office/drawing/2014/chart" uri="{C3380CC4-5D6E-409C-BE32-E72D297353CC}">
                <c16:uniqueId val="{00000003-16FF-4F99-B773-6AF61C14AC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334-44DA-A71D-F0DDEB271B04}"/>
              </c:ext>
            </c:extLst>
          </c:dPt>
          <c:dPt>
            <c:idx val="4"/>
            <c:bubble3D val="0"/>
            <c:spPr>
              <a:solidFill>
                <a:schemeClr val="accent2"/>
              </a:solidFill>
              <a:ln w="19050">
                <a:solidFill>
                  <a:schemeClr val="accent2"/>
                </a:solidFill>
              </a:ln>
              <a:effectLst/>
            </c:spPr>
            <c:extLst>
              <c:ext xmlns:c16="http://schemas.microsoft.com/office/drawing/2014/chart" uri="{C3380CC4-5D6E-409C-BE32-E72D297353CC}">
                <c16:uniqueId val="{00000005-16FF-4F99-B773-6AF61C14AC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334-44DA-A71D-F0DDEB271B04}"/>
              </c:ext>
            </c:extLst>
          </c:dPt>
          <c:dPt>
            <c:idx val="6"/>
            <c:bubble3D val="0"/>
            <c:spPr>
              <a:solidFill>
                <a:schemeClr val="accent6">
                  <a:lumMod val="75000"/>
                </a:schemeClr>
              </a:solidFill>
              <a:ln w="19050">
                <a:solidFill>
                  <a:schemeClr val="accent6">
                    <a:lumMod val="75000"/>
                  </a:schemeClr>
                </a:solidFill>
              </a:ln>
              <a:effectLst/>
            </c:spPr>
            <c:extLst>
              <c:ext xmlns:c16="http://schemas.microsoft.com/office/drawing/2014/chart" uri="{C3380CC4-5D6E-409C-BE32-E72D297353CC}">
                <c16:uniqueId val="{00000007-16FF-4F99-B773-6AF61C14AC1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334-44DA-A71D-F0DDEB271B04}"/>
              </c:ext>
            </c:extLst>
          </c:dPt>
          <c:dPt>
            <c:idx val="8"/>
            <c:bubble3D val="0"/>
            <c:spPr>
              <a:solidFill>
                <a:schemeClr val="accent4">
                  <a:lumMod val="75000"/>
                </a:schemeClr>
              </a:solidFill>
              <a:ln w="19050">
                <a:solidFill>
                  <a:schemeClr val="accent4">
                    <a:lumMod val="75000"/>
                  </a:schemeClr>
                </a:solidFill>
              </a:ln>
              <a:effectLst/>
            </c:spPr>
            <c:extLst>
              <c:ext xmlns:c16="http://schemas.microsoft.com/office/drawing/2014/chart" uri="{C3380CC4-5D6E-409C-BE32-E72D297353CC}">
                <c16:uniqueId val="{00000009-16FF-4F99-B773-6AF61C14AC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334-44DA-A71D-F0DDEB271B04}"/>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a-DK"/>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'Visualisering af resultat'!$A$318:$A$327</c:f>
              <c:strCache>
                <c:ptCount val="10"/>
                <c:pt idx="0">
                  <c:v>Miljø</c:v>
                </c:pt>
                <c:pt idx="1">
                  <c:v>Miljø</c:v>
                </c:pt>
                <c:pt idx="2">
                  <c:v>Økonomi</c:v>
                </c:pt>
                <c:pt idx="3">
                  <c:v>Økonomi</c:v>
                </c:pt>
                <c:pt idx="4">
                  <c:v>Sociale hensyn</c:v>
                </c:pt>
                <c:pt idx="5">
                  <c:v>Sociale hensyn</c:v>
                </c:pt>
                <c:pt idx="6">
                  <c:v>Teknisk kvalitet</c:v>
                </c:pt>
                <c:pt idx="7">
                  <c:v>Teknisk kvalitet</c:v>
                </c:pt>
                <c:pt idx="8">
                  <c:v>Proces</c:v>
                </c:pt>
                <c:pt idx="9">
                  <c:v>Proces</c:v>
                </c:pt>
              </c:strCache>
            </c:strRef>
          </c:cat>
          <c:val>
            <c:numRef>
              <c:f>'Visualisering af resultat'!$D$318:$D$327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16FF-4F99-B773-6AF61C14AC1B}"/>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Score iht. DGNB</a:t>
            </a:r>
          </a:p>
        </c:rich>
      </c:tx>
      <c:overlay val="0"/>
      <c:spPr>
        <a:noFill/>
        <a:ln>
          <a:noFill/>
        </a:ln>
        <a:effectLst/>
      </c:spPr>
    </c:title>
    <c:autoTitleDeleted val="0"/>
    <c:plotArea>
      <c:layout/>
      <c:barChart>
        <c:barDir val="col"/>
        <c:grouping val="clustered"/>
        <c:varyColors val="0"/>
        <c:ser>
          <c:idx val="0"/>
          <c:order val="0"/>
          <c:tx>
            <c:v>Vægtet resultat ift. DGNB</c:v>
          </c:tx>
          <c:spPr>
            <a:solidFill>
              <a:schemeClr val="accent1">
                <a:lumMod val="75000"/>
              </a:schemeClr>
            </a:solidFill>
            <a:ln>
              <a:solidFill>
                <a:schemeClr val="accent1">
                  <a:lumMod val="75000"/>
                </a:schemeClr>
              </a:solidFill>
            </a:ln>
            <a:effectLst/>
          </c:spPr>
          <c:invertIfNegative val="0"/>
          <c:cat>
            <c:strRef>
              <c:f>('Visualisering af resultat'!$A$318,'Visualisering af resultat'!$A$320,'Visualisering af resultat'!$A$322,'Visualisering af resultat'!$A$324,'Visualisering af resultat'!$A$326)</c:f>
              <c:strCache>
                <c:ptCount val="5"/>
                <c:pt idx="0">
                  <c:v>Miljø</c:v>
                </c:pt>
                <c:pt idx="1">
                  <c:v>Økonomi</c:v>
                </c:pt>
                <c:pt idx="2">
                  <c:v>Sociale hensyn</c:v>
                </c:pt>
                <c:pt idx="3">
                  <c:v>Teknisk kvalitet</c:v>
                </c:pt>
                <c:pt idx="4">
                  <c:v>Proces</c:v>
                </c:pt>
              </c:strCache>
            </c:strRef>
          </c:cat>
          <c:val>
            <c:numRef>
              <c:f>('Visualisering af resultat'!$B$318,'Visualisering af resultat'!$B$320,'Visualisering af resultat'!$B$322,'Visualisering af resultat'!$B$324,'Visualisering af resultat'!$B$326)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0D6-4AA3-A9A0-4AF89890D4EF}"/>
            </c:ext>
          </c:extLst>
        </c:ser>
        <c:ser>
          <c:idx val="1"/>
          <c:order val="1"/>
          <c:tx>
            <c:v>Maks. mulig score</c:v>
          </c:tx>
          <c:spPr>
            <a:solidFill>
              <a:schemeClr val="bg1">
                <a:lumMod val="85000"/>
              </a:schemeClr>
            </a:solidFill>
            <a:ln>
              <a:noFill/>
            </a:ln>
            <a:effectLst/>
          </c:spPr>
          <c:invertIfNegative val="0"/>
          <c:cat>
            <c:strRef>
              <c:f>('Visualisering af resultat'!$A$318,'Visualisering af resultat'!$A$320,'Visualisering af resultat'!$A$322,'Visualisering af resultat'!$A$324,'Visualisering af resultat'!$A$326)</c:f>
              <c:strCache>
                <c:ptCount val="5"/>
                <c:pt idx="0">
                  <c:v>Miljø</c:v>
                </c:pt>
                <c:pt idx="1">
                  <c:v>Økonomi</c:v>
                </c:pt>
                <c:pt idx="2">
                  <c:v>Sociale hensyn</c:v>
                </c:pt>
                <c:pt idx="3">
                  <c:v>Teknisk kvalitet</c:v>
                </c:pt>
                <c:pt idx="4">
                  <c:v>Proces</c:v>
                </c:pt>
              </c:strCache>
            </c:strRef>
          </c:cat>
          <c:val>
            <c:numRef>
              <c:f>('Visualisering af resultat'!$C$318,'Visualisering af resultat'!$C$320,'Visualisering af resultat'!$C$322,'Visualisering af resultat'!$C$324,'Visualisering af resultat'!$C$326)</c:f>
              <c:numCache>
                <c:formatCode>0.0%</c:formatCode>
                <c:ptCount val="5"/>
                <c:pt idx="0">
                  <c:v>0.22297740963855422</c:v>
                </c:pt>
                <c:pt idx="1">
                  <c:v>0.18658341669717987</c:v>
                </c:pt>
                <c:pt idx="2">
                  <c:v>0</c:v>
                </c:pt>
                <c:pt idx="3">
                  <c:v>0.20874745528573507</c:v>
                </c:pt>
                <c:pt idx="4">
                  <c:v>0.11595410628019323</c:v>
                </c:pt>
              </c:numCache>
            </c:numRef>
          </c:val>
          <c:extLst>
            <c:ext xmlns:c16="http://schemas.microsoft.com/office/drawing/2014/chart" uri="{C3380CC4-5D6E-409C-BE32-E72D297353CC}">
              <c16:uniqueId val="{00000001-40D6-4AA3-A9A0-4AF89890D4EF}"/>
            </c:ext>
          </c:extLst>
        </c:ser>
        <c:dLbls>
          <c:showLegendKey val="0"/>
          <c:showVal val="0"/>
          <c:showCatName val="0"/>
          <c:showSerName val="0"/>
          <c:showPercent val="0"/>
          <c:showBubbleSize val="0"/>
        </c:dLbls>
        <c:gapWidth val="219"/>
        <c:overlap val="-27"/>
        <c:axId val="815003728"/>
        <c:axId val="815004288"/>
      </c:barChart>
      <c:catAx>
        <c:axId val="81500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004288"/>
        <c:crosses val="autoZero"/>
        <c:auto val="1"/>
        <c:lblAlgn val="ctr"/>
        <c:lblOffset val="100"/>
        <c:noMultiLvlLbl val="0"/>
      </c:catAx>
      <c:valAx>
        <c:axId val="8150042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003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Score iht. egenvægtning</a:t>
            </a:r>
          </a:p>
        </c:rich>
      </c:tx>
      <c:overlay val="0"/>
      <c:spPr>
        <a:noFill/>
        <a:ln>
          <a:noFill/>
        </a:ln>
        <a:effectLst/>
      </c:spPr>
    </c:title>
    <c:autoTitleDeleted val="0"/>
    <c:plotArea>
      <c:layout/>
      <c:barChart>
        <c:barDir val="col"/>
        <c:grouping val="clustered"/>
        <c:varyColors val="0"/>
        <c:ser>
          <c:idx val="0"/>
          <c:order val="0"/>
          <c:tx>
            <c:v>Vægtet resultat ift. egenvægtning</c:v>
          </c:tx>
          <c:spPr>
            <a:solidFill>
              <a:schemeClr val="tx2">
                <a:lumMod val="60000"/>
                <a:lumOff val="40000"/>
              </a:schemeClr>
            </a:solidFill>
            <a:ln>
              <a:solidFill>
                <a:schemeClr val="tx2">
                  <a:lumMod val="60000"/>
                  <a:lumOff val="40000"/>
                </a:schemeClr>
              </a:solidFill>
            </a:ln>
            <a:effectLst/>
          </c:spPr>
          <c:invertIfNegative val="0"/>
          <c:cat>
            <c:strRef>
              <c:f>('Visualisering af resultat'!$A$318,'Visualisering af resultat'!$A$320,'Visualisering af resultat'!$A$322,'Visualisering af resultat'!$A$324,'Visualisering af resultat'!$A$326)</c:f>
              <c:strCache>
                <c:ptCount val="5"/>
                <c:pt idx="0">
                  <c:v>Miljø</c:v>
                </c:pt>
                <c:pt idx="1">
                  <c:v>Økonomi</c:v>
                </c:pt>
                <c:pt idx="2">
                  <c:v>Sociale hensyn</c:v>
                </c:pt>
                <c:pt idx="3">
                  <c:v>Teknisk kvalitet</c:v>
                </c:pt>
                <c:pt idx="4">
                  <c:v>Proces</c:v>
                </c:pt>
              </c:strCache>
            </c:strRef>
          </c:cat>
          <c:val>
            <c:numRef>
              <c:f>('Visualisering af resultat'!$D$318,'Visualisering af resultat'!$D$320,'Visualisering af resultat'!$D$322,'Visualisering af resultat'!$D$324,'Visualisering af resultat'!$D$326)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675-4FED-B64B-FD79B16E6107}"/>
            </c:ext>
          </c:extLst>
        </c:ser>
        <c:ser>
          <c:idx val="1"/>
          <c:order val="1"/>
          <c:tx>
            <c:v>Maks. mulig score</c:v>
          </c:tx>
          <c:spPr>
            <a:solidFill>
              <a:schemeClr val="bg1">
                <a:lumMod val="85000"/>
              </a:schemeClr>
            </a:solidFill>
            <a:ln>
              <a:noFill/>
            </a:ln>
            <a:effectLst/>
          </c:spPr>
          <c:invertIfNegative val="0"/>
          <c:cat>
            <c:strRef>
              <c:f>('Visualisering af resultat'!$A$318,'Visualisering af resultat'!$A$320,'Visualisering af resultat'!$A$322,'Visualisering af resultat'!$A$324,'Visualisering af resultat'!$A$326)</c:f>
              <c:strCache>
                <c:ptCount val="5"/>
                <c:pt idx="0">
                  <c:v>Miljø</c:v>
                </c:pt>
                <c:pt idx="1">
                  <c:v>Økonomi</c:v>
                </c:pt>
                <c:pt idx="2">
                  <c:v>Sociale hensyn</c:v>
                </c:pt>
                <c:pt idx="3">
                  <c:v>Teknisk kvalitet</c:v>
                </c:pt>
                <c:pt idx="4">
                  <c:v>Proces</c:v>
                </c:pt>
              </c:strCache>
            </c:strRef>
          </c:cat>
          <c:val>
            <c:numRef>
              <c:f>('Visualisering af resultat'!$E$318,'Visualisering af resultat'!$E$320,'Visualisering af resultat'!$E$322,'Visualisering af resultat'!$E$324,'Visualisering af resultat'!$E$326)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0675-4FED-B64B-FD79B16E6107}"/>
            </c:ext>
          </c:extLst>
        </c:ser>
        <c:dLbls>
          <c:showLegendKey val="0"/>
          <c:showVal val="0"/>
          <c:showCatName val="0"/>
          <c:showSerName val="0"/>
          <c:showPercent val="0"/>
          <c:showBubbleSize val="0"/>
        </c:dLbls>
        <c:gapWidth val="219"/>
        <c:overlap val="-27"/>
        <c:axId val="815882784"/>
        <c:axId val="815883344"/>
      </c:barChart>
      <c:catAx>
        <c:axId val="81588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883344"/>
        <c:crosses val="autoZero"/>
        <c:auto val="1"/>
        <c:lblAlgn val="ctr"/>
        <c:lblOffset val="100"/>
        <c:noMultiLvlLbl val="0"/>
      </c:catAx>
      <c:valAx>
        <c:axId val="815883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882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Miljø</a:t>
            </a:r>
            <a:r>
              <a:rPr lang="da-DK" baseline="0"/>
              <a:t> </a:t>
            </a:r>
            <a:r>
              <a:rPr lang="da-DK"/>
              <a:t>ift. DGNB vægtning</a:t>
            </a:r>
          </a:p>
        </c:rich>
      </c:tx>
      <c:overlay val="0"/>
      <c:spPr>
        <a:noFill/>
        <a:ln>
          <a:noFill/>
        </a:ln>
        <a:effectLst/>
      </c:spPr>
    </c:title>
    <c:autoTitleDeleted val="0"/>
    <c:plotArea>
      <c:layout/>
      <c:barChart>
        <c:barDir val="col"/>
        <c:grouping val="clustered"/>
        <c:varyColors val="0"/>
        <c:ser>
          <c:idx val="0"/>
          <c:order val="0"/>
          <c:tx>
            <c:strRef>
              <c:f>'Ekstra resultatvisninger'!$V$3</c:f>
              <c:strCache>
                <c:ptCount val="1"/>
                <c:pt idx="0">
                  <c:v>Vægtet resultat ift. DGNB</c:v>
                </c:pt>
              </c:strCache>
            </c:strRef>
          </c:tx>
          <c:spPr>
            <a:solidFill>
              <a:schemeClr val="accent1">
                <a:lumMod val="75000"/>
              </a:schemeClr>
            </a:solidFill>
            <a:ln>
              <a:solidFill>
                <a:schemeClr val="accent1">
                  <a:lumMod val="75000"/>
                </a:schemeClr>
              </a:solidFill>
            </a:ln>
            <a:effectLst/>
          </c:spPr>
          <c:invertIfNegative val="0"/>
          <c:cat>
            <c:strRef>
              <c:f>('Ekstra resultatvisninger'!$R$5,'Ekstra resultatvisninger'!$R$10,'Ekstra resultatvisninger'!$R$14,'Ekstra resultatvisninger'!$R$19,'Ekstra resultatvisninger'!$R$22,'Ekstra resultatvisninger'!$R$25)</c:f>
              <c:strCache>
                <c:ptCount val="6"/>
                <c:pt idx="0">
                  <c:v>Materialer</c:v>
                </c:pt>
                <c:pt idx="1">
                  <c:v>Energi</c:v>
                </c:pt>
                <c:pt idx="2">
                  <c:v>Vand</c:v>
                </c:pt>
                <c:pt idx="3">
                  <c:v>Beplantning</c:v>
                </c:pt>
                <c:pt idx="4">
                  <c:v>Bebyggelsestæthed</c:v>
                </c:pt>
                <c:pt idx="5">
                  <c:v>Forurening</c:v>
                </c:pt>
              </c:strCache>
            </c:strRef>
          </c:cat>
          <c:val>
            <c:numRef>
              <c:f>('Ekstra resultatvisninger'!$V$5,'Ekstra resultatvisninger'!$V$10,'Ekstra resultatvisninger'!$V$14,'Ekstra resultatvisninger'!$V$19,'Ekstra resultatvisninger'!$V$22,'Ekstra resultatvisninger'!$V$25)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B49E-42B1-A35D-6B556D159912}"/>
            </c:ext>
          </c:extLst>
        </c:ser>
        <c:ser>
          <c:idx val="1"/>
          <c:order val="1"/>
          <c:tx>
            <c:strRef>
              <c:f>'Ekstra resultatvisninger'!$U$3</c:f>
              <c:strCache>
                <c:ptCount val="1"/>
                <c:pt idx="0">
                  <c:v>Maks. mulig score DGNB vægtning</c:v>
                </c:pt>
              </c:strCache>
            </c:strRef>
          </c:tx>
          <c:spPr>
            <a:solidFill>
              <a:schemeClr val="bg1">
                <a:lumMod val="85000"/>
              </a:schemeClr>
            </a:solidFill>
            <a:ln>
              <a:solidFill>
                <a:schemeClr val="bg1">
                  <a:lumMod val="85000"/>
                </a:schemeClr>
              </a:solidFill>
            </a:ln>
            <a:effectLst/>
          </c:spPr>
          <c:invertIfNegative val="0"/>
          <c:cat>
            <c:strRef>
              <c:f>('Ekstra resultatvisninger'!$R$5,'Ekstra resultatvisninger'!$R$10,'Ekstra resultatvisninger'!$R$14,'Ekstra resultatvisninger'!$R$19,'Ekstra resultatvisninger'!$R$22,'Ekstra resultatvisninger'!$R$25)</c:f>
              <c:strCache>
                <c:ptCount val="6"/>
                <c:pt idx="0">
                  <c:v>Materialer</c:v>
                </c:pt>
                <c:pt idx="1">
                  <c:v>Energi</c:v>
                </c:pt>
                <c:pt idx="2">
                  <c:v>Vand</c:v>
                </c:pt>
                <c:pt idx="3">
                  <c:v>Beplantning</c:v>
                </c:pt>
                <c:pt idx="4">
                  <c:v>Bebyggelsestæthed</c:v>
                </c:pt>
                <c:pt idx="5">
                  <c:v>Forurening</c:v>
                </c:pt>
              </c:strCache>
            </c:strRef>
          </c:cat>
          <c:val>
            <c:numRef>
              <c:f>('Ekstra resultatvisninger'!$U$5,'Ekstra resultatvisninger'!$U$10,'Ekstra resultatvisninger'!$U$14,'Ekstra resultatvisninger'!$U$19,'Ekstra resultatvisninger'!$U$22,'Ekstra resultatvisninger'!$U$25)</c:f>
              <c:numCache>
                <c:formatCode>0.0%</c:formatCode>
                <c:ptCount val="6"/>
                <c:pt idx="0">
                  <c:v>9.4500000000000015E-2</c:v>
                </c:pt>
                <c:pt idx="1">
                  <c:v>8.5500000000000007E-2</c:v>
                </c:pt>
                <c:pt idx="2">
                  <c:v>2.2500000000000003E-2</c:v>
                </c:pt>
                <c:pt idx="3">
                  <c:v>1.352409638554217E-3</c:v>
                </c:pt>
                <c:pt idx="4">
                  <c:v>4.5000000000000005E-3</c:v>
                </c:pt>
                <c:pt idx="5">
                  <c:v>1.4625000000000003E-2</c:v>
                </c:pt>
              </c:numCache>
            </c:numRef>
          </c:val>
          <c:extLst>
            <c:ext xmlns:c16="http://schemas.microsoft.com/office/drawing/2014/chart" uri="{C3380CC4-5D6E-409C-BE32-E72D297353CC}">
              <c16:uniqueId val="{0000000E-B49E-42B1-A35D-6B556D159912}"/>
            </c:ext>
          </c:extLst>
        </c:ser>
        <c:dLbls>
          <c:showLegendKey val="0"/>
          <c:showVal val="0"/>
          <c:showCatName val="0"/>
          <c:showSerName val="0"/>
          <c:showPercent val="0"/>
          <c:showBubbleSize val="0"/>
        </c:dLbls>
        <c:gapWidth val="75"/>
        <c:overlap val="-25"/>
        <c:axId val="815943680"/>
        <c:axId val="815944240"/>
      </c:barChart>
      <c:catAx>
        <c:axId val="8159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944240"/>
        <c:crosses val="autoZero"/>
        <c:auto val="1"/>
        <c:lblAlgn val="ctr"/>
        <c:lblOffset val="100"/>
        <c:noMultiLvlLbl val="0"/>
      </c:catAx>
      <c:valAx>
        <c:axId val="8159442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94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0" i="0" u="none" strike="noStrike" baseline="0">
                <a:effectLst/>
              </a:rPr>
              <a:t>Miljø </a:t>
            </a:r>
            <a:r>
              <a:rPr lang="da-DK"/>
              <a:t>ift.</a:t>
            </a:r>
            <a:r>
              <a:rPr lang="da-DK" baseline="0"/>
              <a:t> egenvægtning</a:t>
            </a:r>
            <a:endParaRPr lang="da-DK"/>
          </a:p>
        </c:rich>
      </c:tx>
      <c:overlay val="0"/>
      <c:spPr>
        <a:noFill/>
        <a:ln>
          <a:noFill/>
        </a:ln>
        <a:effectLst/>
      </c:spPr>
    </c:title>
    <c:autoTitleDeleted val="0"/>
    <c:plotArea>
      <c:layout/>
      <c:barChart>
        <c:barDir val="col"/>
        <c:grouping val="clustered"/>
        <c:varyColors val="0"/>
        <c:ser>
          <c:idx val="0"/>
          <c:order val="0"/>
          <c:tx>
            <c:strRef>
              <c:f>'Ekstra resultatvisninger'!$X$3</c:f>
              <c:strCache>
                <c:ptCount val="1"/>
                <c:pt idx="0">
                  <c:v>Vægtet resultat ift. egenvægtning</c:v>
                </c:pt>
              </c:strCache>
            </c:strRef>
          </c:tx>
          <c:spPr>
            <a:solidFill>
              <a:schemeClr val="accent1">
                <a:lumMod val="60000"/>
                <a:lumOff val="40000"/>
              </a:schemeClr>
            </a:solidFill>
            <a:ln>
              <a:solidFill>
                <a:schemeClr val="accent1">
                  <a:lumMod val="60000"/>
                  <a:lumOff val="40000"/>
                </a:schemeClr>
              </a:solidFill>
            </a:ln>
            <a:effectLst/>
          </c:spPr>
          <c:invertIfNegative val="0"/>
          <c:cat>
            <c:strRef>
              <c:f>('Ekstra resultatvisninger'!$R$5,'Ekstra resultatvisninger'!$R$10,'Ekstra resultatvisninger'!$R$14,'Ekstra resultatvisninger'!$R$19,'Ekstra resultatvisninger'!$R$22,'Ekstra resultatvisninger'!$R$25)</c:f>
              <c:strCache>
                <c:ptCount val="6"/>
                <c:pt idx="0">
                  <c:v>Materialer</c:v>
                </c:pt>
                <c:pt idx="1">
                  <c:v>Energi</c:v>
                </c:pt>
                <c:pt idx="2">
                  <c:v>Vand</c:v>
                </c:pt>
                <c:pt idx="3">
                  <c:v>Beplantning</c:v>
                </c:pt>
                <c:pt idx="4">
                  <c:v>Bebyggelsestæthed</c:v>
                </c:pt>
                <c:pt idx="5">
                  <c:v>Forurening</c:v>
                </c:pt>
              </c:strCache>
            </c:strRef>
          </c:cat>
          <c:val>
            <c:numRef>
              <c:f>('Ekstra resultatvisninger'!$X$5,'Ekstra resultatvisninger'!$X$10,'Ekstra resultatvisninger'!$X$14,'Ekstra resultatvisninger'!$X$19,'Ekstra resultatvisninger'!$X$22,'Ekstra resultatvisninger'!$X$25)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8E6-4C5F-A89D-6D7FB366F529}"/>
            </c:ext>
          </c:extLst>
        </c:ser>
        <c:ser>
          <c:idx val="1"/>
          <c:order val="1"/>
          <c:tx>
            <c:strRef>
              <c:f>'Ekstra resultatvisninger'!$W$3</c:f>
              <c:strCache>
                <c:ptCount val="1"/>
                <c:pt idx="0">
                  <c:v>Maks. mulig score egenvægtning</c:v>
                </c:pt>
              </c:strCache>
            </c:strRef>
          </c:tx>
          <c:spPr>
            <a:solidFill>
              <a:schemeClr val="bg1">
                <a:lumMod val="85000"/>
              </a:schemeClr>
            </a:solidFill>
            <a:ln>
              <a:solidFill>
                <a:schemeClr val="bg1">
                  <a:lumMod val="85000"/>
                </a:schemeClr>
              </a:solidFill>
            </a:ln>
            <a:effectLst/>
          </c:spPr>
          <c:invertIfNegative val="0"/>
          <c:cat>
            <c:strRef>
              <c:f>('Ekstra resultatvisninger'!$R$5,'Ekstra resultatvisninger'!$R$10,'Ekstra resultatvisninger'!$R$14,'Ekstra resultatvisninger'!$R$19,'Ekstra resultatvisninger'!$R$22,'Ekstra resultatvisninger'!$R$25)</c:f>
              <c:strCache>
                <c:ptCount val="6"/>
                <c:pt idx="0">
                  <c:v>Materialer</c:v>
                </c:pt>
                <c:pt idx="1">
                  <c:v>Energi</c:v>
                </c:pt>
                <c:pt idx="2">
                  <c:v>Vand</c:v>
                </c:pt>
                <c:pt idx="3">
                  <c:v>Beplantning</c:v>
                </c:pt>
                <c:pt idx="4">
                  <c:v>Bebyggelsestæthed</c:v>
                </c:pt>
                <c:pt idx="5">
                  <c:v>Forurening</c:v>
                </c:pt>
              </c:strCache>
            </c:strRef>
          </c:cat>
          <c:val>
            <c:numRef>
              <c:f>('Ekstra resultatvisninger'!$W$5,'Ekstra resultatvisninger'!$W$10,'Ekstra resultatvisninger'!$W$14,'Ekstra resultatvisninger'!$W$19,'Ekstra resultatvisninger'!$W$22,'Ekstra resultatvisninger'!$W$25)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98E6-4C5F-A89D-6D7FB366F529}"/>
            </c:ext>
          </c:extLst>
        </c:ser>
        <c:dLbls>
          <c:showLegendKey val="0"/>
          <c:showVal val="0"/>
          <c:showCatName val="0"/>
          <c:showSerName val="0"/>
          <c:showPercent val="0"/>
          <c:showBubbleSize val="0"/>
        </c:dLbls>
        <c:gapWidth val="75"/>
        <c:overlap val="-25"/>
        <c:axId val="815919088"/>
        <c:axId val="815919648"/>
      </c:barChart>
      <c:catAx>
        <c:axId val="81591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919648"/>
        <c:crosses val="autoZero"/>
        <c:auto val="1"/>
        <c:lblAlgn val="ctr"/>
        <c:lblOffset val="100"/>
        <c:noMultiLvlLbl val="0"/>
      </c:catAx>
      <c:valAx>
        <c:axId val="815919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91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Økonomi</a:t>
            </a:r>
            <a:r>
              <a:rPr lang="da-DK" baseline="0"/>
              <a:t> </a:t>
            </a:r>
            <a:r>
              <a:rPr lang="da-DK"/>
              <a:t>ift DGNB vægtning</a:t>
            </a:r>
          </a:p>
        </c:rich>
      </c:tx>
      <c:overlay val="0"/>
      <c:spPr>
        <a:noFill/>
        <a:ln>
          <a:noFill/>
        </a:ln>
        <a:effectLst/>
      </c:spPr>
    </c:title>
    <c:autoTitleDeleted val="0"/>
    <c:plotArea>
      <c:layout/>
      <c:barChart>
        <c:barDir val="col"/>
        <c:grouping val="clustered"/>
        <c:varyColors val="0"/>
        <c:ser>
          <c:idx val="0"/>
          <c:order val="0"/>
          <c:tx>
            <c:strRef>
              <c:f>'Ekstra resultatvisninger'!$V$3</c:f>
              <c:strCache>
                <c:ptCount val="1"/>
                <c:pt idx="0">
                  <c:v>Vægtet resultat ift. DGNB</c:v>
                </c:pt>
              </c:strCache>
            </c:strRef>
          </c:tx>
          <c:spPr>
            <a:solidFill>
              <a:schemeClr val="accent3">
                <a:lumMod val="50000"/>
              </a:schemeClr>
            </a:solidFill>
            <a:ln>
              <a:solidFill>
                <a:schemeClr val="accent3">
                  <a:lumMod val="50000"/>
                </a:schemeClr>
              </a:solidFill>
            </a:ln>
            <a:effectLst/>
          </c:spPr>
          <c:invertIfNegative val="0"/>
          <c:cat>
            <c:strRef>
              <c:f>('Ekstra resultatvisninger'!$R$30,'Ekstra resultatvisninger'!$R$35,'Ekstra resultatvisninger'!$R$44)</c:f>
              <c:strCache>
                <c:ptCount val="3"/>
                <c:pt idx="0">
                  <c:v>Levetidsomkostninger</c:v>
                </c:pt>
                <c:pt idx="1">
                  <c:v>Fleksibilitet</c:v>
                </c:pt>
                <c:pt idx="2">
                  <c:v>Robusthed</c:v>
                </c:pt>
              </c:strCache>
            </c:strRef>
          </c:cat>
          <c:val>
            <c:numRef>
              <c:f>('Ekstra resultatvisninger'!$V$30,'Ekstra resultatvisninger'!$V$35,'Ekstra resultatvisninger'!$V$44)</c:f>
              <c:numCache>
                <c:formatCode>0.0%</c:formatCode>
                <c:ptCount val="3"/>
                <c:pt idx="0">
                  <c:v>0</c:v>
                </c:pt>
                <c:pt idx="1">
                  <c:v>0</c:v>
                </c:pt>
                <c:pt idx="2">
                  <c:v>0</c:v>
                </c:pt>
              </c:numCache>
            </c:numRef>
          </c:val>
          <c:extLst>
            <c:ext xmlns:c16="http://schemas.microsoft.com/office/drawing/2014/chart" uri="{C3380CC4-5D6E-409C-BE32-E72D297353CC}">
              <c16:uniqueId val="{00000004-F320-466F-A96B-BF449B83161B}"/>
            </c:ext>
          </c:extLst>
        </c:ser>
        <c:ser>
          <c:idx val="1"/>
          <c:order val="1"/>
          <c:tx>
            <c:strRef>
              <c:f>'Ekstra resultatvisninger'!$U$3</c:f>
              <c:strCache>
                <c:ptCount val="1"/>
                <c:pt idx="0">
                  <c:v>Maks. mulig score DGNB vægtning</c:v>
                </c:pt>
              </c:strCache>
            </c:strRef>
          </c:tx>
          <c:spPr>
            <a:solidFill>
              <a:schemeClr val="bg1">
                <a:lumMod val="85000"/>
              </a:schemeClr>
            </a:solidFill>
            <a:ln>
              <a:solidFill>
                <a:schemeClr val="bg1">
                  <a:lumMod val="85000"/>
                </a:schemeClr>
              </a:solidFill>
            </a:ln>
            <a:effectLst/>
          </c:spPr>
          <c:invertIfNegative val="0"/>
          <c:cat>
            <c:strRef>
              <c:f>('Ekstra resultatvisninger'!$R$30,'Ekstra resultatvisninger'!$R$35,'Ekstra resultatvisninger'!$R$44)</c:f>
              <c:strCache>
                <c:ptCount val="3"/>
                <c:pt idx="0">
                  <c:v>Levetidsomkostninger</c:v>
                </c:pt>
                <c:pt idx="1">
                  <c:v>Fleksibilitet</c:v>
                </c:pt>
                <c:pt idx="2">
                  <c:v>Robusthed</c:v>
                </c:pt>
              </c:strCache>
            </c:strRef>
          </c:cat>
          <c:val>
            <c:numRef>
              <c:f>('Ekstra resultatvisninger'!$U$30,'Ekstra resultatvisninger'!$U$35,'Ekstra resultatvisninger'!$U$44)</c:f>
              <c:numCache>
                <c:formatCode>0.0%</c:formatCode>
                <c:ptCount val="3"/>
                <c:pt idx="0">
                  <c:v>0.1108695652173913</c:v>
                </c:pt>
                <c:pt idx="1">
                  <c:v>6.1766758761087677E-2</c:v>
                </c:pt>
                <c:pt idx="2">
                  <c:v>1.3947092718700892E-2</c:v>
                </c:pt>
              </c:numCache>
            </c:numRef>
          </c:val>
          <c:extLst>
            <c:ext xmlns:c16="http://schemas.microsoft.com/office/drawing/2014/chart" uri="{C3380CC4-5D6E-409C-BE32-E72D297353CC}">
              <c16:uniqueId val="{00000005-F320-466F-A96B-BF449B83161B}"/>
            </c:ext>
          </c:extLst>
        </c:ser>
        <c:dLbls>
          <c:showLegendKey val="0"/>
          <c:showVal val="0"/>
          <c:showCatName val="0"/>
          <c:showSerName val="0"/>
          <c:showPercent val="0"/>
          <c:showBubbleSize val="0"/>
        </c:dLbls>
        <c:gapWidth val="75"/>
        <c:overlap val="-25"/>
        <c:axId val="816459840"/>
        <c:axId val="816460400"/>
      </c:barChart>
      <c:catAx>
        <c:axId val="81645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460400"/>
        <c:crosses val="autoZero"/>
        <c:auto val="1"/>
        <c:lblAlgn val="ctr"/>
        <c:lblOffset val="100"/>
        <c:noMultiLvlLbl val="0"/>
      </c:catAx>
      <c:valAx>
        <c:axId val="816460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459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Økonomi</a:t>
            </a:r>
            <a:r>
              <a:rPr lang="da-DK" baseline="0"/>
              <a:t> </a:t>
            </a:r>
            <a:r>
              <a:rPr lang="da-DK"/>
              <a:t>ift egenvægtning</a:t>
            </a:r>
          </a:p>
        </c:rich>
      </c:tx>
      <c:overlay val="0"/>
      <c:spPr>
        <a:noFill/>
        <a:ln>
          <a:noFill/>
        </a:ln>
        <a:effectLst/>
      </c:spPr>
    </c:title>
    <c:autoTitleDeleted val="0"/>
    <c:plotArea>
      <c:layout/>
      <c:barChart>
        <c:barDir val="col"/>
        <c:grouping val="clustered"/>
        <c:varyColors val="0"/>
        <c:ser>
          <c:idx val="0"/>
          <c:order val="0"/>
          <c:tx>
            <c:strRef>
              <c:f>'Ekstra resultatvisninger'!$X$3</c:f>
              <c:strCache>
                <c:ptCount val="1"/>
                <c:pt idx="0">
                  <c:v>Vægtet resultat ift. egenvægtning</c:v>
                </c:pt>
              </c:strCache>
            </c:strRef>
          </c:tx>
          <c:spPr>
            <a:solidFill>
              <a:schemeClr val="accent3">
                <a:lumMod val="60000"/>
                <a:lumOff val="40000"/>
              </a:schemeClr>
            </a:solidFill>
            <a:ln>
              <a:solidFill>
                <a:schemeClr val="accent3">
                  <a:lumMod val="40000"/>
                  <a:lumOff val="60000"/>
                </a:schemeClr>
              </a:solidFill>
            </a:ln>
            <a:effectLst/>
          </c:spPr>
          <c:invertIfNegative val="0"/>
          <c:cat>
            <c:strRef>
              <c:f>('Ekstra resultatvisninger'!$R$30,'Ekstra resultatvisninger'!$R$35,'Ekstra resultatvisninger'!$R$44)</c:f>
              <c:strCache>
                <c:ptCount val="3"/>
                <c:pt idx="0">
                  <c:v>Levetidsomkostninger</c:v>
                </c:pt>
                <c:pt idx="1">
                  <c:v>Fleksibilitet</c:v>
                </c:pt>
                <c:pt idx="2">
                  <c:v>Robusthed</c:v>
                </c:pt>
              </c:strCache>
            </c:strRef>
          </c:cat>
          <c:val>
            <c:numRef>
              <c:f>('Ekstra resultatvisninger'!$X$30,'Ekstra resultatvisninger'!$X$35,'Ekstra resultatvisninger'!$X$44)</c:f>
              <c:numCache>
                <c:formatCode>0.0%</c:formatCode>
                <c:ptCount val="3"/>
                <c:pt idx="0">
                  <c:v>0</c:v>
                </c:pt>
                <c:pt idx="1">
                  <c:v>0</c:v>
                </c:pt>
                <c:pt idx="2">
                  <c:v>0</c:v>
                </c:pt>
              </c:numCache>
            </c:numRef>
          </c:val>
          <c:extLst>
            <c:ext xmlns:c16="http://schemas.microsoft.com/office/drawing/2014/chart" uri="{C3380CC4-5D6E-409C-BE32-E72D297353CC}">
              <c16:uniqueId val="{00000003-6A91-46A6-A3D1-7276EDB57893}"/>
            </c:ext>
          </c:extLst>
        </c:ser>
        <c:ser>
          <c:idx val="1"/>
          <c:order val="1"/>
          <c:tx>
            <c:strRef>
              <c:f>'Ekstra resultatvisninger'!$W$3</c:f>
              <c:strCache>
                <c:ptCount val="1"/>
                <c:pt idx="0">
                  <c:v>Maks. mulig score egenvægtning</c:v>
                </c:pt>
              </c:strCache>
            </c:strRef>
          </c:tx>
          <c:spPr>
            <a:solidFill>
              <a:schemeClr val="bg1">
                <a:lumMod val="85000"/>
              </a:schemeClr>
            </a:solidFill>
            <a:ln>
              <a:solidFill>
                <a:schemeClr val="bg1">
                  <a:lumMod val="85000"/>
                </a:schemeClr>
              </a:solidFill>
            </a:ln>
            <a:effectLst/>
          </c:spPr>
          <c:invertIfNegative val="0"/>
          <c:cat>
            <c:strRef>
              <c:f>('Ekstra resultatvisninger'!$R$30,'Ekstra resultatvisninger'!$R$35,'Ekstra resultatvisninger'!$R$44)</c:f>
              <c:strCache>
                <c:ptCount val="3"/>
                <c:pt idx="0">
                  <c:v>Levetidsomkostninger</c:v>
                </c:pt>
                <c:pt idx="1">
                  <c:v>Fleksibilitet</c:v>
                </c:pt>
                <c:pt idx="2">
                  <c:v>Robusthed</c:v>
                </c:pt>
              </c:strCache>
            </c:strRef>
          </c:cat>
          <c:val>
            <c:numRef>
              <c:f>('Ekstra resultatvisninger'!$W$30,'Ekstra resultatvisninger'!$W$35,'Ekstra resultatvisninger'!$W$44)</c:f>
              <c:numCache>
                <c:formatCode>0.0%</c:formatCode>
                <c:ptCount val="3"/>
                <c:pt idx="0">
                  <c:v>0</c:v>
                </c:pt>
                <c:pt idx="1">
                  <c:v>0</c:v>
                </c:pt>
                <c:pt idx="2">
                  <c:v>0</c:v>
                </c:pt>
              </c:numCache>
            </c:numRef>
          </c:val>
          <c:extLst>
            <c:ext xmlns:c16="http://schemas.microsoft.com/office/drawing/2014/chart" uri="{C3380CC4-5D6E-409C-BE32-E72D297353CC}">
              <c16:uniqueId val="{00000004-6A91-46A6-A3D1-7276EDB57893}"/>
            </c:ext>
          </c:extLst>
        </c:ser>
        <c:dLbls>
          <c:showLegendKey val="0"/>
          <c:showVal val="0"/>
          <c:showCatName val="0"/>
          <c:showSerName val="0"/>
          <c:showPercent val="0"/>
          <c:showBubbleSize val="0"/>
        </c:dLbls>
        <c:gapWidth val="75"/>
        <c:overlap val="-25"/>
        <c:axId val="817086544"/>
        <c:axId val="817087104"/>
      </c:barChart>
      <c:catAx>
        <c:axId val="81708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087104"/>
        <c:crosses val="autoZero"/>
        <c:auto val="1"/>
        <c:lblAlgn val="ctr"/>
        <c:lblOffset val="100"/>
        <c:noMultiLvlLbl val="0"/>
      </c:catAx>
      <c:valAx>
        <c:axId val="8170871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08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Sociale</a:t>
            </a:r>
            <a:r>
              <a:rPr lang="da-DK" baseline="0"/>
              <a:t> hensyn</a:t>
            </a:r>
            <a:r>
              <a:rPr lang="da-DK"/>
              <a:t> ift DGNB vægtning</a:t>
            </a:r>
          </a:p>
        </c:rich>
      </c:tx>
      <c:overlay val="0"/>
      <c:spPr>
        <a:noFill/>
        <a:ln>
          <a:noFill/>
        </a:ln>
        <a:effectLst/>
      </c:spPr>
    </c:title>
    <c:autoTitleDeleted val="0"/>
    <c:plotArea>
      <c:layout/>
      <c:barChart>
        <c:barDir val="col"/>
        <c:grouping val="clustered"/>
        <c:varyColors val="0"/>
        <c:ser>
          <c:idx val="0"/>
          <c:order val="0"/>
          <c:tx>
            <c:strRef>
              <c:f>'Ekstra resultatvisninger'!$V$3</c:f>
              <c:strCache>
                <c:ptCount val="1"/>
                <c:pt idx="0">
                  <c:v>Vægtet resultat ift. DGNB</c:v>
                </c:pt>
              </c:strCache>
            </c:strRef>
          </c:tx>
          <c:spPr>
            <a:solidFill>
              <a:schemeClr val="accent2"/>
            </a:solidFill>
            <a:ln>
              <a:solidFill>
                <a:schemeClr val="accent2"/>
              </a:solidFill>
            </a:ln>
            <a:effectLst/>
          </c:spPr>
          <c:invertIfNegative val="0"/>
          <c:cat>
            <c:strRef>
              <c:f>('Ekstra resultatvisninger'!$R$49,'Ekstra resultatvisninger'!$R$55,'Ekstra resultatvisninger'!$R$58,'Ekstra resultatvisninger'!$R$69,'Ekstra resultatvisninger'!$R$74,'Ekstra resultatvisninger'!$R$78,'Ekstra resultatvisninger'!$R$82,'Ekstra resultatvisninger'!$R$87,'Ekstra resultatvisninger'!$R$91,'Ekstra resultatvisninger'!$R$97)</c:f>
              <c:strCache>
                <c:ptCount val="10"/>
                <c:pt idx="0">
                  <c:v>Beplantning</c:v>
                </c:pt>
                <c:pt idx="1">
                  <c:v>Robusthed</c:v>
                </c:pt>
                <c:pt idx="2">
                  <c:v>Indeklima</c:v>
                </c:pt>
                <c:pt idx="3">
                  <c:v>Brugerstyring</c:v>
                </c:pt>
                <c:pt idx="4">
                  <c:v>Tilgængelighed</c:v>
                </c:pt>
                <c:pt idx="5">
                  <c:v>Udearealer</c:v>
                </c:pt>
                <c:pt idx="6">
                  <c:v>Cyklister</c:v>
                </c:pt>
                <c:pt idx="7">
                  <c:v>Tryghed og sikkerhed</c:v>
                </c:pt>
                <c:pt idx="8">
                  <c:v>Arkitektonisk kvalitet</c:v>
                </c:pt>
                <c:pt idx="9">
                  <c:v>Plandisponering</c:v>
                </c:pt>
              </c:strCache>
            </c:strRef>
          </c:cat>
          <c:val>
            <c:numRef>
              <c:f>('Ekstra resultatvisninger'!$V$49,'Ekstra resultatvisninger'!$V$55,'Ekstra resultatvisninger'!$V$58,'Ekstra resultatvisninger'!$V$69,'Ekstra resultatvisninger'!$V$74,'Ekstra resultatvisninger'!$V$78,'Ekstra resultatvisninger'!$V$82,'Ekstra resultatvisninger'!$V$87,'Ekstra resultatvisninger'!$V$91,'Ekstra resultatvisninger'!$V$97)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607-4EE1-9A11-A5A351994D7A}"/>
            </c:ext>
          </c:extLst>
        </c:ser>
        <c:ser>
          <c:idx val="1"/>
          <c:order val="1"/>
          <c:tx>
            <c:strRef>
              <c:f>'Ekstra resultatvisninger'!$U$3</c:f>
              <c:strCache>
                <c:ptCount val="1"/>
                <c:pt idx="0">
                  <c:v>Maks. mulig score DGNB vægtning</c:v>
                </c:pt>
              </c:strCache>
            </c:strRef>
          </c:tx>
          <c:spPr>
            <a:solidFill>
              <a:schemeClr val="bg1">
                <a:lumMod val="85000"/>
              </a:schemeClr>
            </a:solidFill>
            <a:ln>
              <a:solidFill>
                <a:schemeClr val="bg1">
                  <a:lumMod val="85000"/>
                </a:schemeClr>
              </a:solidFill>
            </a:ln>
            <a:effectLst/>
          </c:spPr>
          <c:invertIfNegative val="0"/>
          <c:cat>
            <c:strRef>
              <c:f>('Ekstra resultatvisninger'!$R$49,'Ekstra resultatvisninger'!$R$55,'Ekstra resultatvisninger'!$R$58,'Ekstra resultatvisninger'!$R$69,'Ekstra resultatvisninger'!$R$74,'Ekstra resultatvisninger'!$R$78,'Ekstra resultatvisninger'!$R$82,'Ekstra resultatvisninger'!$R$87,'Ekstra resultatvisninger'!$R$91,'Ekstra resultatvisninger'!$R$97)</c:f>
              <c:strCache>
                <c:ptCount val="10"/>
                <c:pt idx="0">
                  <c:v>Beplantning</c:v>
                </c:pt>
                <c:pt idx="1">
                  <c:v>Robusthed</c:v>
                </c:pt>
                <c:pt idx="2">
                  <c:v>Indeklima</c:v>
                </c:pt>
                <c:pt idx="3">
                  <c:v>Brugerstyring</c:v>
                </c:pt>
                <c:pt idx="4">
                  <c:v>Tilgængelighed</c:v>
                </c:pt>
                <c:pt idx="5">
                  <c:v>Udearealer</c:v>
                </c:pt>
                <c:pt idx="6">
                  <c:v>Cyklister</c:v>
                </c:pt>
                <c:pt idx="7">
                  <c:v>Tryghed og sikkerhed</c:v>
                </c:pt>
                <c:pt idx="8">
                  <c:v>Arkitektonisk kvalitet</c:v>
                </c:pt>
                <c:pt idx="9">
                  <c:v>Plandisponering</c:v>
                </c:pt>
              </c:strCache>
            </c:strRef>
          </c:cat>
          <c:val>
            <c:numRef>
              <c:f>('Ekstra resultatvisninger'!$U$49,'Ekstra resultatvisninger'!$U$55,'Ekstra resultatvisninger'!$U$58,'Ekstra resultatvisninger'!$U$69,'Ekstra resultatvisninger'!$U$74,'Ekstra resultatvisninger'!$U$78,'Ekstra resultatvisninger'!$U$82,'Ekstra resultatvisninger'!$U$87,'Ekstra resultatvisninger'!$U$91,'Ekstra resultatvisninger'!$U$97)</c:f>
              <c:numCache>
                <c:formatCode>0.0%</c:formatCode>
                <c:ptCount val="10"/>
                <c:pt idx="0">
                  <c:v>5.0256024096385545E-3</c:v>
                </c:pt>
                <c:pt idx="1">
                  <c:v>1.8072289156626509E-3</c:v>
                </c:pt>
                <c:pt idx="2">
                  <c:v>9.9397590361445784E-2</c:v>
                </c:pt>
                <c:pt idx="3">
                  <c:v>1.8072289156626505E-2</c:v>
                </c:pt>
                <c:pt idx="4">
                  <c:v>0</c:v>
                </c:pt>
                <c:pt idx="5">
                  <c:v>1.0301204819277109E-2</c:v>
                </c:pt>
                <c:pt idx="6">
                  <c:v>9.0361445783132526E-3</c:v>
                </c:pt>
                <c:pt idx="7">
                  <c:v>1.1190917516218722E-2</c:v>
                </c:pt>
                <c:pt idx="8">
                  <c:v>2.4E-2</c:v>
                </c:pt>
                <c:pt idx="9">
                  <c:v>1.7981927710843375E-2</c:v>
                </c:pt>
              </c:numCache>
            </c:numRef>
          </c:val>
          <c:extLst>
            <c:ext xmlns:c16="http://schemas.microsoft.com/office/drawing/2014/chart" uri="{C3380CC4-5D6E-409C-BE32-E72D297353CC}">
              <c16:uniqueId val="{00000005-D607-4EE1-9A11-A5A351994D7A}"/>
            </c:ext>
          </c:extLst>
        </c:ser>
        <c:dLbls>
          <c:showLegendKey val="0"/>
          <c:showVal val="0"/>
          <c:showCatName val="0"/>
          <c:showSerName val="0"/>
          <c:showPercent val="0"/>
          <c:showBubbleSize val="0"/>
        </c:dLbls>
        <c:gapWidth val="75"/>
        <c:overlap val="-25"/>
        <c:axId val="816832560"/>
        <c:axId val="816833120"/>
      </c:barChart>
      <c:catAx>
        <c:axId val="81683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833120"/>
        <c:crosses val="autoZero"/>
        <c:auto val="1"/>
        <c:lblAlgn val="ctr"/>
        <c:lblOffset val="100"/>
        <c:noMultiLvlLbl val="0"/>
      </c:catAx>
      <c:valAx>
        <c:axId val="8168331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832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Sociale hensyn ift egenvægtning</a:t>
            </a:r>
          </a:p>
        </c:rich>
      </c:tx>
      <c:overlay val="0"/>
      <c:spPr>
        <a:noFill/>
        <a:ln>
          <a:noFill/>
        </a:ln>
        <a:effectLst/>
      </c:spPr>
    </c:title>
    <c:autoTitleDeleted val="0"/>
    <c:plotArea>
      <c:layout/>
      <c:barChart>
        <c:barDir val="col"/>
        <c:grouping val="clustered"/>
        <c:varyColors val="0"/>
        <c:ser>
          <c:idx val="0"/>
          <c:order val="0"/>
          <c:tx>
            <c:strRef>
              <c:f>'Ekstra resultatvisninger'!$X$3</c:f>
              <c:strCache>
                <c:ptCount val="1"/>
                <c:pt idx="0">
                  <c:v>Vægtet resultat ift. egenvægtning</c:v>
                </c:pt>
              </c:strCache>
            </c:strRef>
          </c:tx>
          <c:spPr>
            <a:solidFill>
              <a:schemeClr val="accent2">
                <a:lumMod val="60000"/>
                <a:lumOff val="40000"/>
              </a:schemeClr>
            </a:solidFill>
            <a:ln>
              <a:solidFill>
                <a:schemeClr val="accent2">
                  <a:lumMod val="60000"/>
                  <a:lumOff val="40000"/>
                </a:schemeClr>
              </a:solidFill>
            </a:ln>
            <a:effectLst/>
          </c:spPr>
          <c:invertIfNegative val="0"/>
          <c:cat>
            <c:strRef>
              <c:f>('Ekstra resultatvisninger'!$R$49,'Ekstra resultatvisninger'!$R$55,'Ekstra resultatvisninger'!$R$58,'Ekstra resultatvisninger'!$R$69,'Ekstra resultatvisninger'!$R$74,'Ekstra resultatvisninger'!$R$78,'Ekstra resultatvisninger'!$R$82,'Ekstra resultatvisninger'!$R$87,'Ekstra resultatvisninger'!$R$91,'Ekstra resultatvisninger'!$R$97)</c:f>
              <c:strCache>
                <c:ptCount val="10"/>
                <c:pt idx="0">
                  <c:v>Beplantning</c:v>
                </c:pt>
                <c:pt idx="1">
                  <c:v>Robusthed</c:v>
                </c:pt>
                <c:pt idx="2">
                  <c:v>Indeklima</c:v>
                </c:pt>
                <c:pt idx="3">
                  <c:v>Brugerstyring</c:v>
                </c:pt>
                <c:pt idx="4">
                  <c:v>Tilgængelighed</c:v>
                </c:pt>
                <c:pt idx="5">
                  <c:v>Udearealer</c:v>
                </c:pt>
                <c:pt idx="6">
                  <c:v>Cyklister</c:v>
                </c:pt>
                <c:pt idx="7">
                  <c:v>Tryghed og sikkerhed</c:v>
                </c:pt>
                <c:pt idx="8">
                  <c:v>Arkitektonisk kvalitet</c:v>
                </c:pt>
                <c:pt idx="9">
                  <c:v>Plandisponering</c:v>
                </c:pt>
              </c:strCache>
            </c:strRef>
          </c:cat>
          <c:val>
            <c:numRef>
              <c:f>('Ekstra resultatvisninger'!$X$49,'Ekstra resultatvisninger'!$X$55,'Ekstra resultatvisninger'!$X$58,'Ekstra resultatvisninger'!$X$69,'Ekstra resultatvisninger'!$X$74,'Ekstra resultatvisninger'!$X$78,'Ekstra resultatvisninger'!$X$82,'Ekstra resultatvisninger'!$X$87,'Ekstra resultatvisninger'!$X$91,'Ekstra resultatvisninger'!$X$97)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10B-4C50-BBCF-6D5C07E584B5}"/>
            </c:ext>
          </c:extLst>
        </c:ser>
        <c:ser>
          <c:idx val="1"/>
          <c:order val="1"/>
          <c:tx>
            <c:strRef>
              <c:f>'Ekstra resultatvisninger'!$W$3</c:f>
              <c:strCache>
                <c:ptCount val="1"/>
                <c:pt idx="0">
                  <c:v>Maks. mulig score egenvægtning</c:v>
                </c:pt>
              </c:strCache>
            </c:strRef>
          </c:tx>
          <c:spPr>
            <a:solidFill>
              <a:schemeClr val="bg1">
                <a:lumMod val="85000"/>
              </a:schemeClr>
            </a:solidFill>
            <a:ln>
              <a:solidFill>
                <a:schemeClr val="bg1">
                  <a:lumMod val="85000"/>
                </a:schemeClr>
              </a:solidFill>
            </a:ln>
            <a:effectLst/>
          </c:spPr>
          <c:invertIfNegative val="0"/>
          <c:cat>
            <c:strRef>
              <c:f>('Ekstra resultatvisninger'!$R$49,'Ekstra resultatvisninger'!$R$55,'Ekstra resultatvisninger'!$R$58,'Ekstra resultatvisninger'!$R$69,'Ekstra resultatvisninger'!$R$74,'Ekstra resultatvisninger'!$R$78,'Ekstra resultatvisninger'!$R$82,'Ekstra resultatvisninger'!$R$87,'Ekstra resultatvisninger'!$R$91,'Ekstra resultatvisninger'!$R$97)</c:f>
              <c:strCache>
                <c:ptCount val="10"/>
                <c:pt idx="0">
                  <c:v>Beplantning</c:v>
                </c:pt>
                <c:pt idx="1">
                  <c:v>Robusthed</c:v>
                </c:pt>
                <c:pt idx="2">
                  <c:v>Indeklima</c:v>
                </c:pt>
                <c:pt idx="3">
                  <c:v>Brugerstyring</c:v>
                </c:pt>
                <c:pt idx="4">
                  <c:v>Tilgængelighed</c:v>
                </c:pt>
                <c:pt idx="5">
                  <c:v>Udearealer</c:v>
                </c:pt>
                <c:pt idx="6">
                  <c:v>Cyklister</c:v>
                </c:pt>
                <c:pt idx="7">
                  <c:v>Tryghed og sikkerhed</c:v>
                </c:pt>
                <c:pt idx="8">
                  <c:v>Arkitektonisk kvalitet</c:v>
                </c:pt>
                <c:pt idx="9">
                  <c:v>Plandisponering</c:v>
                </c:pt>
              </c:strCache>
            </c:strRef>
          </c:cat>
          <c:val>
            <c:numRef>
              <c:f>('Ekstra resultatvisninger'!$W$49,'Ekstra resultatvisninger'!$W$55,'Ekstra resultatvisninger'!$W$58,'Ekstra resultatvisninger'!$W$69,'Ekstra resultatvisninger'!$W$74,'Ekstra resultatvisninger'!$W$78,'Ekstra resultatvisninger'!$W$82,'Ekstra resultatvisninger'!$W$87,'Ekstra resultatvisninger'!$W$91,'Ekstra resultatvisninger'!$W$97)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10B-4C50-BBCF-6D5C07E584B5}"/>
            </c:ext>
          </c:extLst>
        </c:ser>
        <c:dLbls>
          <c:showLegendKey val="0"/>
          <c:showVal val="0"/>
          <c:showCatName val="0"/>
          <c:showSerName val="0"/>
          <c:showPercent val="0"/>
          <c:showBubbleSize val="0"/>
        </c:dLbls>
        <c:gapWidth val="75"/>
        <c:overlap val="-25"/>
        <c:axId val="816652320"/>
        <c:axId val="816652880"/>
      </c:barChart>
      <c:catAx>
        <c:axId val="81665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652880"/>
        <c:crosses val="autoZero"/>
        <c:auto val="1"/>
        <c:lblAlgn val="ctr"/>
        <c:lblOffset val="100"/>
        <c:noMultiLvlLbl val="0"/>
      </c:catAx>
      <c:valAx>
        <c:axId val="8166528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652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Teknisk kvalitet ift DGNB vægtning</a:t>
            </a:r>
          </a:p>
        </c:rich>
      </c:tx>
      <c:overlay val="0"/>
      <c:spPr>
        <a:noFill/>
        <a:ln>
          <a:noFill/>
        </a:ln>
        <a:effectLst/>
      </c:spPr>
    </c:title>
    <c:autoTitleDeleted val="0"/>
    <c:plotArea>
      <c:layout/>
      <c:barChart>
        <c:barDir val="col"/>
        <c:grouping val="clustered"/>
        <c:varyColors val="0"/>
        <c:ser>
          <c:idx val="0"/>
          <c:order val="0"/>
          <c:tx>
            <c:strRef>
              <c:f>'Ekstra resultatvisninger'!$V$3</c:f>
              <c:strCache>
                <c:ptCount val="1"/>
                <c:pt idx="0">
                  <c:v>Vægtet resultat ift. DGNB</c:v>
                </c:pt>
              </c:strCache>
            </c:strRef>
          </c:tx>
          <c:spPr>
            <a:solidFill>
              <a:schemeClr val="accent6">
                <a:lumMod val="75000"/>
              </a:schemeClr>
            </a:solidFill>
            <a:ln>
              <a:solidFill>
                <a:schemeClr val="accent6">
                  <a:lumMod val="75000"/>
                </a:schemeClr>
              </a:solidFill>
            </a:ln>
            <a:effectLst/>
          </c:spPr>
          <c:invertIfNegative val="0"/>
          <c:cat>
            <c:strRef>
              <c:f>('Ekstra resultatvisninger'!$R$116,'Ekstra resultatvisninger'!$R$119,'Ekstra resultatvisninger'!$R$123,'Ekstra resultatvisninger'!$R$126,'Ekstra resultatvisninger'!$R$130,'Ekstra resultatvisninger'!$R$139)</c:f>
              <c:strCache>
                <c:ptCount val="6"/>
                <c:pt idx="0">
                  <c:v>Materialer</c:v>
                </c:pt>
                <c:pt idx="1">
                  <c:v>Fleksibilitet</c:v>
                </c:pt>
                <c:pt idx="2">
                  <c:v>Indeklima</c:v>
                </c:pt>
                <c:pt idx="3">
                  <c:v>Personsikkerhed</c:v>
                </c:pt>
                <c:pt idx="4">
                  <c:v>Klimaskærmens kvalitet</c:v>
                </c:pt>
                <c:pt idx="5">
                  <c:v>Renhold og vedligehold</c:v>
                </c:pt>
              </c:strCache>
            </c:strRef>
          </c:cat>
          <c:val>
            <c:numRef>
              <c:f>('Ekstra resultatvisninger'!$V$116,'Ekstra resultatvisninger'!$V$119,'Ekstra resultatvisninger'!$V$123,'Ekstra resultatvisninger'!$V$126,'Ekstra resultatvisninger'!$V$130,'Ekstra resultatvisninger'!$V$139)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74C2-48DF-8447-BF36663495F3}"/>
            </c:ext>
          </c:extLst>
        </c:ser>
        <c:ser>
          <c:idx val="1"/>
          <c:order val="1"/>
          <c:tx>
            <c:strRef>
              <c:f>'Ekstra resultatvisninger'!$U$3</c:f>
              <c:strCache>
                <c:ptCount val="1"/>
                <c:pt idx="0">
                  <c:v>Maks. mulig score DGNB vægtning</c:v>
                </c:pt>
              </c:strCache>
            </c:strRef>
          </c:tx>
          <c:spPr>
            <a:solidFill>
              <a:schemeClr val="bg1">
                <a:lumMod val="85000"/>
              </a:schemeClr>
            </a:solidFill>
            <a:ln>
              <a:solidFill>
                <a:schemeClr val="bg1">
                  <a:lumMod val="85000"/>
                </a:schemeClr>
              </a:solidFill>
            </a:ln>
            <a:effectLst/>
          </c:spPr>
          <c:invertIfNegative val="0"/>
          <c:cat>
            <c:strRef>
              <c:f>('Ekstra resultatvisninger'!$R$116,'Ekstra resultatvisninger'!$R$119,'Ekstra resultatvisninger'!$R$123,'Ekstra resultatvisninger'!$R$126,'Ekstra resultatvisninger'!$R$130,'Ekstra resultatvisninger'!$R$139)</c:f>
              <c:strCache>
                <c:ptCount val="6"/>
                <c:pt idx="0">
                  <c:v>Materialer</c:v>
                </c:pt>
                <c:pt idx="1">
                  <c:v>Fleksibilitet</c:v>
                </c:pt>
                <c:pt idx="2">
                  <c:v>Indeklima</c:v>
                </c:pt>
                <c:pt idx="3">
                  <c:v>Personsikkerhed</c:v>
                </c:pt>
                <c:pt idx="4">
                  <c:v>Klimaskærmens kvalitet</c:v>
                </c:pt>
                <c:pt idx="5">
                  <c:v>Renhold og vedligehold</c:v>
                </c:pt>
              </c:strCache>
            </c:strRef>
          </c:cat>
          <c:val>
            <c:numRef>
              <c:f>('Ekstra resultatvisninger'!$U$116,'Ekstra resultatvisninger'!$U$119,'Ekstra resultatvisninger'!$U$123,'Ekstra resultatvisninger'!$U$126,'Ekstra resultatvisninger'!$U$130,'Ekstra resultatvisninger'!$U$139)</c:f>
              <c:numCache>
                <c:formatCode>0.0%</c:formatCode>
                <c:ptCount val="6"/>
                <c:pt idx="0">
                  <c:v>1.7307692307692309E-2</c:v>
                </c:pt>
                <c:pt idx="1">
                  <c:v>1.3170532208811982E-2</c:v>
                </c:pt>
                <c:pt idx="2">
                  <c:v>3.4615384615384617E-2</c:v>
                </c:pt>
                <c:pt idx="3">
                  <c:v>2.8846153846153848E-2</c:v>
                </c:pt>
                <c:pt idx="4">
                  <c:v>3.9807692307692301E-2</c:v>
                </c:pt>
                <c:pt idx="5">
                  <c:v>3.4615384615384617E-2</c:v>
                </c:pt>
              </c:numCache>
            </c:numRef>
          </c:val>
          <c:extLst>
            <c:ext xmlns:c16="http://schemas.microsoft.com/office/drawing/2014/chart" uri="{C3380CC4-5D6E-409C-BE32-E72D297353CC}">
              <c16:uniqueId val="{00000005-74C2-48DF-8447-BF36663495F3}"/>
            </c:ext>
          </c:extLst>
        </c:ser>
        <c:dLbls>
          <c:showLegendKey val="0"/>
          <c:showVal val="0"/>
          <c:showCatName val="0"/>
          <c:showSerName val="0"/>
          <c:showPercent val="0"/>
          <c:showBubbleSize val="0"/>
        </c:dLbls>
        <c:gapWidth val="75"/>
        <c:overlap val="-25"/>
        <c:axId val="816796768"/>
        <c:axId val="816797328"/>
      </c:barChart>
      <c:catAx>
        <c:axId val="8167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797328"/>
        <c:crosses val="autoZero"/>
        <c:auto val="1"/>
        <c:lblAlgn val="ctr"/>
        <c:lblOffset val="100"/>
        <c:noMultiLvlLbl val="0"/>
      </c:catAx>
      <c:valAx>
        <c:axId val="8167973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79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Teknisk kvalitet ift egenvægtning</a:t>
            </a:r>
          </a:p>
        </c:rich>
      </c:tx>
      <c:overlay val="0"/>
      <c:spPr>
        <a:noFill/>
        <a:ln>
          <a:noFill/>
        </a:ln>
        <a:effectLst/>
      </c:spPr>
    </c:title>
    <c:autoTitleDeleted val="0"/>
    <c:plotArea>
      <c:layout/>
      <c:barChart>
        <c:barDir val="col"/>
        <c:grouping val="clustered"/>
        <c:varyColors val="0"/>
        <c:ser>
          <c:idx val="0"/>
          <c:order val="0"/>
          <c:tx>
            <c:strRef>
              <c:f>'Ekstra resultatvisninger'!$X$3</c:f>
              <c:strCache>
                <c:ptCount val="1"/>
                <c:pt idx="0">
                  <c:v>Vægtet resultat ift. egenvægtning</c:v>
                </c:pt>
              </c:strCache>
            </c:strRef>
          </c:tx>
          <c:spPr>
            <a:solidFill>
              <a:schemeClr val="accent6"/>
            </a:solidFill>
            <a:ln>
              <a:noFill/>
            </a:ln>
            <a:effectLst/>
          </c:spPr>
          <c:invertIfNegative val="0"/>
          <c:cat>
            <c:strRef>
              <c:f>('Ekstra resultatvisninger'!$R$116,'Ekstra resultatvisninger'!$R$119,'Ekstra resultatvisninger'!$R$123,'Ekstra resultatvisninger'!$R$126,'Ekstra resultatvisninger'!$R$130,'Ekstra resultatvisninger'!$R$139)</c:f>
              <c:strCache>
                <c:ptCount val="6"/>
                <c:pt idx="0">
                  <c:v>Materialer</c:v>
                </c:pt>
                <c:pt idx="1">
                  <c:v>Fleksibilitet</c:v>
                </c:pt>
                <c:pt idx="2">
                  <c:v>Indeklima</c:v>
                </c:pt>
                <c:pt idx="3">
                  <c:v>Personsikkerhed</c:v>
                </c:pt>
                <c:pt idx="4">
                  <c:v>Klimaskærmens kvalitet</c:v>
                </c:pt>
                <c:pt idx="5">
                  <c:v>Renhold og vedligehold</c:v>
                </c:pt>
              </c:strCache>
            </c:strRef>
          </c:cat>
          <c:val>
            <c:numRef>
              <c:f>('Ekstra resultatvisninger'!$X$116,'Ekstra resultatvisninger'!$X$119,'Ekstra resultatvisninger'!$X$123,'Ekstra resultatvisninger'!$X$126,'Ekstra resultatvisninger'!$X$130,'Ekstra resultatvisninger'!$X$139)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25C4-48B3-941D-9023BCA9473B}"/>
            </c:ext>
          </c:extLst>
        </c:ser>
        <c:ser>
          <c:idx val="1"/>
          <c:order val="1"/>
          <c:tx>
            <c:strRef>
              <c:f>'Ekstra resultatvisninger'!$W$3</c:f>
              <c:strCache>
                <c:ptCount val="1"/>
                <c:pt idx="0">
                  <c:v>Maks. mulig score egenvægtning</c:v>
                </c:pt>
              </c:strCache>
            </c:strRef>
          </c:tx>
          <c:spPr>
            <a:solidFill>
              <a:schemeClr val="bg1">
                <a:lumMod val="85000"/>
              </a:schemeClr>
            </a:solidFill>
            <a:ln>
              <a:solidFill>
                <a:schemeClr val="bg1">
                  <a:lumMod val="85000"/>
                </a:schemeClr>
              </a:solidFill>
            </a:ln>
            <a:effectLst/>
          </c:spPr>
          <c:invertIfNegative val="0"/>
          <c:cat>
            <c:strRef>
              <c:f>('Ekstra resultatvisninger'!$R$116,'Ekstra resultatvisninger'!$R$119,'Ekstra resultatvisninger'!$R$123,'Ekstra resultatvisninger'!$R$126,'Ekstra resultatvisninger'!$R$130,'Ekstra resultatvisninger'!$R$139)</c:f>
              <c:strCache>
                <c:ptCount val="6"/>
                <c:pt idx="0">
                  <c:v>Materialer</c:v>
                </c:pt>
                <c:pt idx="1">
                  <c:v>Fleksibilitet</c:v>
                </c:pt>
                <c:pt idx="2">
                  <c:v>Indeklima</c:v>
                </c:pt>
                <c:pt idx="3">
                  <c:v>Personsikkerhed</c:v>
                </c:pt>
                <c:pt idx="4">
                  <c:v>Klimaskærmens kvalitet</c:v>
                </c:pt>
                <c:pt idx="5">
                  <c:v>Renhold og vedligehold</c:v>
                </c:pt>
              </c:strCache>
            </c:strRef>
          </c:cat>
          <c:val>
            <c:numRef>
              <c:f>('Ekstra resultatvisninger'!$W$116,'Ekstra resultatvisninger'!$W$119,'Ekstra resultatvisninger'!$W$123,'Ekstra resultatvisninger'!$W$126,'Ekstra resultatvisninger'!$W$130,'Ekstra resultatvisninger'!$W$139)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25C4-48B3-941D-9023BCA9473B}"/>
            </c:ext>
          </c:extLst>
        </c:ser>
        <c:dLbls>
          <c:showLegendKey val="0"/>
          <c:showVal val="0"/>
          <c:showCatName val="0"/>
          <c:showSerName val="0"/>
          <c:showPercent val="0"/>
          <c:showBubbleSize val="0"/>
        </c:dLbls>
        <c:gapWidth val="75"/>
        <c:overlap val="-25"/>
        <c:axId val="816836656"/>
        <c:axId val="816837216"/>
      </c:barChart>
      <c:catAx>
        <c:axId val="81683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837216"/>
        <c:crosses val="autoZero"/>
        <c:auto val="1"/>
        <c:lblAlgn val="ctr"/>
        <c:lblOffset val="100"/>
        <c:noMultiLvlLbl val="0"/>
      </c:catAx>
      <c:valAx>
        <c:axId val="81683721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836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Proces ift DGNB vægtning</a:t>
            </a:r>
          </a:p>
        </c:rich>
      </c:tx>
      <c:overlay val="0"/>
      <c:spPr>
        <a:noFill/>
        <a:ln>
          <a:noFill/>
        </a:ln>
        <a:effectLst/>
      </c:spPr>
    </c:title>
    <c:autoTitleDeleted val="0"/>
    <c:plotArea>
      <c:layout/>
      <c:barChart>
        <c:barDir val="col"/>
        <c:grouping val="clustered"/>
        <c:varyColors val="0"/>
        <c:ser>
          <c:idx val="0"/>
          <c:order val="0"/>
          <c:tx>
            <c:strRef>
              <c:f>'Ekstra resultatvisninger'!$V$3</c:f>
              <c:strCache>
                <c:ptCount val="1"/>
                <c:pt idx="0">
                  <c:v>Vægtet resultat ift. DGNB</c:v>
                </c:pt>
              </c:strCache>
            </c:strRef>
          </c:tx>
          <c:spPr>
            <a:solidFill>
              <a:schemeClr val="accent4">
                <a:lumMod val="75000"/>
              </a:schemeClr>
            </a:solidFill>
            <a:ln>
              <a:solidFill>
                <a:schemeClr val="accent4">
                  <a:lumMod val="75000"/>
                </a:schemeClr>
              </a:solidFill>
            </a:ln>
            <a:effectLst/>
          </c:spPr>
          <c:invertIfNegative val="0"/>
          <c:cat>
            <c:strRef>
              <c:f>('Ekstra resultatvisninger'!$R$150,'Ekstra resultatvisninger'!$R$153,'Ekstra resultatvisninger'!$R$156,'Ekstra resultatvisninger'!$R$163,'Ekstra resultatvisninger'!$R$166,'Ekstra resultatvisninger'!$R$169,'Ekstra resultatvisninger'!$R$174,'Ekstra resultatvisninger'!$R$182,'Ekstra resultatvisninger'!$R$147)</c:f>
              <c:strCache>
                <c:ptCount val="9"/>
                <c:pt idx="0">
                  <c:v>Tryghed og sikkerhed</c:v>
                </c:pt>
                <c:pt idx="1">
                  <c:v>Byggeprogram</c:v>
                </c:pt>
                <c:pt idx="2">
                  <c:v>Integreret designproces</c:v>
                </c:pt>
                <c:pt idx="3">
                  <c:v>Koncepter</c:v>
                </c:pt>
                <c:pt idx="4">
                  <c:v>Entrepriseudbud</c:v>
                </c:pt>
                <c:pt idx="5">
                  <c:v>Kvalitet af aflevering til driftspersonale</c:v>
                </c:pt>
                <c:pt idx="6">
                  <c:v>Byggeplads</c:v>
                </c:pt>
                <c:pt idx="7">
                  <c:v>Eftervisende dokumentation</c:v>
                </c:pt>
                <c:pt idx="8">
                  <c:v>Idriftsættelse</c:v>
                </c:pt>
              </c:strCache>
            </c:strRef>
          </c:cat>
          <c:val>
            <c:numRef>
              <c:f>('Ekstra resultatvisninger'!$V$150,'Ekstra resultatvisninger'!$V$153,'Ekstra resultatvisninger'!$V$156,'Ekstra resultatvisninger'!$V$163,'Ekstra resultatvisninger'!$V$166,'Ekstra resultatvisninger'!$V$169,'Ekstra resultatvisninger'!$V$174,'Ekstra resultatvisninger'!$V$182,'Ekstra resultatvisninger'!$V$147)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57D5-4C24-955F-02D63A3F0BB2}"/>
            </c:ext>
          </c:extLst>
        </c:ser>
        <c:ser>
          <c:idx val="1"/>
          <c:order val="1"/>
          <c:tx>
            <c:strRef>
              <c:f>'Ekstra resultatvisninger'!$U$3</c:f>
              <c:strCache>
                <c:ptCount val="1"/>
                <c:pt idx="0">
                  <c:v>Maks. mulig score DGNB vægtning</c:v>
                </c:pt>
              </c:strCache>
            </c:strRef>
          </c:tx>
          <c:spPr>
            <a:solidFill>
              <a:schemeClr val="bg1">
                <a:lumMod val="85000"/>
              </a:schemeClr>
            </a:solidFill>
            <a:ln>
              <a:solidFill>
                <a:schemeClr val="bg1">
                  <a:lumMod val="85000"/>
                </a:schemeClr>
              </a:solidFill>
            </a:ln>
            <a:effectLst/>
          </c:spPr>
          <c:invertIfNegative val="0"/>
          <c:cat>
            <c:strRef>
              <c:f>('Ekstra resultatvisninger'!$R$150,'Ekstra resultatvisninger'!$R$153,'Ekstra resultatvisninger'!$R$156,'Ekstra resultatvisninger'!$R$163,'Ekstra resultatvisninger'!$R$166,'Ekstra resultatvisninger'!$R$169,'Ekstra resultatvisninger'!$R$174,'Ekstra resultatvisninger'!$R$182,'Ekstra resultatvisninger'!$R$147)</c:f>
              <c:strCache>
                <c:ptCount val="9"/>
                <c:pt idx="0">
                  <c:v>Tryghed og sikkerhed</c:v>
                </c:pt>
                <c:pt idx="1">
                  <c:v>Byggeprogram</c:v>
                </c:pt>
                <c:pt idx="2">
                  <c:v>Integreret designproces</c:v>
                </c:pt>
                <c:pt idx="3">
                  <c:v>Koncepter</c:v>
                </c:pt>
                <c:pt idx="4">
                  <c:v>Entrepriseudbud</c:v>
                </c:pt>
                <c:pt idx="5">
                  <c:v>Kvalitet af aflevering til driftspersonale</c:v>
                </c:pt>
                <c:pt idx="6">
                  <c:v>Byggeplads</c:v>
                </c:pt>
                <c:pt idx="7">
                  <c:v>Eftervisende dokumentation</c:v>
                </c:pt>
                <c:pt idx="8">
                  <c:v>Idriftsættelse</c:v>
                </c:pt>
              </c:strCache>
            </c:strRef>
          </c:cat>
          <c:val>
            <c:numRef>
              <c:f>('Ekstra resultatvisninger'!$U$150,'Ekstra resultatvisninger'!$U$153,'Ekstra resultatvisninger'!$U$156,'Ekstra resultatvisninger'!$U$163,'Ekstra resultatvisninger'!$U$166,'Ekstra resultatvisninger'!$U$169,'Ekstra resultatvisninger'!$U$174,'Ekstra resultatvisninger'!$U$182,'Ekstra resultatvisninger'!$U$147)</c:f>
              <c:numCache>
                <c:formatCode>0.0%</c:formatCode>
                <c:ptCount val="9"/>
                <c:pt idx="0">
                  <c:v>0</c:v>
                </c:pt>
                <c:pt idx="1">
                  <c:v>1.1666666666666665E-2</c:v>
                </c:pt>
                <c:pt idx="2">
                  <c:v>2.1666666666666667E-2</c:v>
                </c:pt>
                <c:pt idx="3">
                  <c:v>3.6231884057971009E-2</c:v>
                </c:pt>
                <c:pt idx="4">
                  <c:v>1.1111111111111112E-2</c:v>
                </c:pt>
                <c:pt idx="5">
                  <c:v>1.1111111111111112E-2</c:v>
                </c:pt>
                <c:pt idx="6">
                  <c:v>0.01</c:v>
                </c:pt>
                <c:pt idx="7">
                  <c:v>1.4166666666666668E-2</c:v>
                </c:pt>
                <c:pt idx="8">
                  <c:v>3.4615384615384617E-2</c:v>
                </c:pt>
              </c:numCache>
            </c:numRef>
          </c:val>
          <c:extLst>
            <c:ext xmlns:c16="http://schemas.microsoft.com/office/drawing/2014/chart" uri="{C3380CC4-5D6E-409C-BE32-E72D297353CC}">
              <c16:uniqueId val="{00000005-57D5-4C24-955F-02D63A3F0BB2}"/>
            </c:ext>
          </c:extLst>
        </c:ser>
        <c:dLbls>
          <c:showLegendKey val="0"/>
          <c:showVal val="0"/>
          <c:showCatName val="0"/>
          <c:showSerName val="0"/>
          <c:showPercent val="0"/>
          <c:showBubbleSize val="0"/>
        </c:dLbls>
        <c:gapWidth val="75"/>
        <c:overlap val="-25"/>
        <c:axId val="816745728"/>
        <c:axId val="816746288"/>
      </c:barChart>
      <c:catAx>
        <c:axId val="81674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746288"/>
        <c:crosses val="autoZero"/>
        <c:auto val="1"/>
        <c:lblAlgn val="ctr"/>
        <c:lblOffset val="100"/>
        <c:noMultiLvlLbl val="0"/>
      </c:catAx>
      <c:valAx>
        <c:axId val="8167462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74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Proces ift egenvægtning</a:t>
            </a:r>
          </a:p>
        </c:rich>
      </c:tx>
      <c:overlay val="0"/>
      <c:spPr>
        <a:noFill/>
        <a:ln>
          <a:noFill/>
        </a:ln>
        <a:effectLst/>
      </c:spPr>
    </c:title>
    <c:autoTitleDeleted val="0"/>
    <c:plotArea>
      <c:layout/>
      <c:barChart>
        <c:barDir val="col"/>
        <c:grouping val="clustered"/>
        <c:varyColors val="0"/>
        <c:ser>
          <c:idx val="0"/>
          <c:order val="0"/>
          <c:tx>
            <c:strRef>
              <c:f>'Ekstra resultatvisninger'!$X$3</c:f>
              <c:strCache>
                <c:ptCount val="1"/>
                <c:pt idx="0">
                  <c:v>Vægtet resultat ift. egenvægtning</c:v>
                </c:pt>
              </c:strCache>
            </c:strRef>
          </c:tx>
          <c:spPr>
            <a:solidFill>
              <a:schemeClr val="accent4">
                <a:lumMod val="60000"/>
                <a:lumOff val="40000"/>
              </a:schemeClr>
            </a:solidFill>
            <a:ln>
              <a:solidFill>
                <a:schemeClr val="accent4">
                  <a:lumMod val="60000"/>
                  <a:lumOff val="40000"/>
                </a:schemeClr>
              </a:solidFill>
            </a:ln>
            <a:effectLst/>
          </c:spPr>
          <c:invertIfNegative val="0"/>
          <c:cat>
            <c:strRef>
              <c:f>('Ekstra resultatvisninger'!$R$150,'Ekstra resultatvisninger'!$R$153,'Ekstra resultatvisninger'!$R$156,'Ekstra resultatvisninger'!$R$163,'Ekstra resultatvisninger'!$R$166,'Ekstra resultatvisninger'!$R$169,'Ekstra resultatvisninger'!$R$174,'Ekstra resultatvisninger'!$R$182,'Ekstra resultatvisninger'!$R$147)</c:f>
              <c:strCache>
                <c:ptCount val="9"/>
                <c:pt idx="0">
                  <c:v>Tryghed og sikkerhed</c:v>
                </c:pt>
                <c:pt idx="1">
                  <c:v>Byggeprogram</c:v>
                </c:pt>
                <c:pt idx="2">
                  <c:v>Integreret designproces</c:v>
                </c:pt>
                <c:pt idx="3">
                  <c:v>Koncepter</c:v>
                </c:pt>
                <c:pt idx="4">
                  <c:v>Entrepriseudbud</c:v>
                </c:pt>
                <c:pt idx="5">
                  <c:v>Kvalitet af aflevering til driftspersonale</c:v>
                </c:pt>
                <c:pt idx="6">
                  <c:v>Byggeplads</c:v>
                </c:pt>
                <c:pt idx="7">
                  <c:v>Eftervisende dokumentation</c:v>
                </c:pt>
                <c:pt idx="8">
                  <c:v>Idriftsættelse</c:v>
                </c:pt>
              </c:strCache>
            </c:strRef>
          </c:cat>
          <c:val>
            <c:numRef>
              <c:f>('Ekstra resultatvisninger'!$X$150,'Ekstra resultatvisninger'!$X$153,'Ekstra resultatvisninger'!$X$156,'Ekstra resultatvisninger'!$X$163,'Ekstra resultatvisninger'!$X$166,'Ekstra resultatvisninger'!$X$169,'Ekstra resultatvisninger'!$X$174,'Ekstra resultatvisninger'!$X$182,'Ekstra resultatvisninger'!$X$147)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00C0-46FF-B91D-57F4FFF06A4C}"/>
            </c:ext>
          </c:extLst>
        </c:ser>
        <c:ser>
          <c:idx val="1"/>
          <c:order val="1"/>
          <c:tx>
            <c:strRef>
              <c:f>'Ekstra resultatvisninger'!$W$3</c:f>
              <c:strCache>
                <c:ptCount val="1"/>
                <c:pt idx="0">
                  <c:v>Maks. mulig score egenvægtning</c:v>
                </c:pt>
              </c:strCache>
            </c:strRef>
          </c:tx>
          <c:spPr>
            <a:solidFill>
              <a:schemeClr val="bg1">
                <a:lumMod val="85000"/>
              </a:schemeClr>
            </a:solidFill>
            <a:ln>
              <a:solidFill>
                <a:schemeClr val="bg1">
                  <a:lumMod val="85000"/>
                </a:schemeClr>
              </a:solidFill>
            </a:ln>
            <a:effectLst/>
          </c:spPr>
          <c:invertIfNegative val="0"/>
          <c:cat>
            <c:strRef>
              <c:f>('Ekstra resultatvisninger'!$R$150,'Ekstra resultatvisninger'!$R$153,'Ekstra resultatvisninger'!$R$156,'Ekstra resultatvisninger'!$R$163,'Ekstra resultatvisninger'!$R$166,'Ekstra resultatvisninger'!$R$169,'Ekstra resultatvisninger'!$R$174,'Ekstra resultatvisninger'!$R$182,'Ekstra resultatvisninger'!$R$147)</c:f>
              <c:strCache>
                <c:ptCount val="9"/>
                <c:pt idx="0">
                  <c:v>Tryghed og sikkerhed</c:v>
                </c:pt>
                <c:pt idx="1">
                  <c:v>Byggeprogram</c:v>
                </c:pt>
                <c:pt idx="2">
                  <c:v>Integreret designproces</c:v>
                </c:pt>
                <c:pt idx="3">
                  <c:v>Koncepter</c:v>
                </c:pt>
                <c:pt idx="4">
                  <c:v>Entrepriseudbud</c:v>
                </c:pt>
                <c:pt idx="5">
                  <c:v>Kvalitet af aflevering til driftspersonale</c:v>
                </c:pt>
                <c:pt idx="6">
                  <c:v>Byggeplads</c:v>
                </c:pt>
                <c:pt idx="7">
                  <c:v>Eftervisende dokumentation</c:v>
                </c:pt>
                <c:pt idx="8">
                  <c:v>Idriftsættelse</c:v>
                </c:pt>
              </c:strCache>
            </c:strRef>
          </c:cat>
          <c:val>
            <c:numRef>
              <c:f>('Ekstra resultatvisninger'!$W$150,'Ekstra resultatvisninger'!$W$153,'Ekstra resultatvisninger'!$W$156,'Ekstra resultatvisninger'!$W$163,'Ekstra resultatvisninger'!$W$166,'Ekstra resultatvisninger'!$W$169,'Ekstra resultatvisninger'!$W$174,'Ekstra resultatvisninger'!$W$182,'Ekstra resultatvisninger'!$W$147)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0C0-46FF-B91D-57F4FFF06A4C}"/>
            </c:ext>
          </c:extLst>
        </c:ser>
        <c:dLbls>
          <c:showLegendKey val="0"/>
          <c:showVal val="0"/>
          <c:showCatName val="0"/>
          <c:showSerName val="0"/>
          <c:showPercent val="0"/>
          <c:showBubbleSize val="0"/>
        </c:dLbls>
        <c:gapWidth val="75"/>
        <c:overlap val="-25"/>
        <c:axId val="816749648"/>
        <c:axId val="816750208"/>
      </c:barChart>
      <c:catAx>
        <c:axId val="81674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750208"/>
        <c:crosses val="autoZero"/>
        <c:auto val="1"/>
        <c:lblAlgn val="ctr"/>
        <c:lblOffset val="100"/>
        <c:noMultiLvlLbl val="0"/>
      </c:catAx>
      <c:valAx>
        <c:axId val="8167502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749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Miljø</a:t>
            </a:r>
            <a:r>
              <a:rPr lang="da-DK" baseline="0"/>
              <a:t> ift. DGNB 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resultatvisninger'!$R$5</c:f>
              <c:strCache>
                <c:ptCount val="1"/>
                <c:pt idx="0">
                  <c:v>Materialer</c:v>
                </c:pt>
              </c:strCache>
            </c:strRef>
          </c:tx>
          <c:spPr>
            <a:solidFill>
              <a:schemeClr val="accent1"/>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resultatvisninger'!$U$5:$V$5</c:f>
              <c:numCache>
                <c:formatCode>0.0%</c:formatCode>
                <c:ptCount val="2"/>
                <c:pt idx="0">
                  <c:v>9.4500000000000015E-2</c:v>
                </c:pt>
                <c:pt idx="1">
                  <c:v>0</c:v>
                </c:pt>
              </c:numCache>
            </c:numRef>
          </c:val>
          <c:extLst>
            <c:ext xmlns:c16="http://schemas.microsoft.com/office/drawing/2014/chart" uri="{C3380CC4-5D6E-409C-BE32-E72D297353CC}">
              <c16:uniqueId val="{0000001A-05E3-44AF-9161-5C092711BBCE}"/>
            </c:ext>
          </c:extLst>
        </c:ser>
        <c:ser>
          <c:idx val="1"/>
          <c:order val="1"/>
          <c:tx>
            <c:strRef>
              <c:f>'Ekstra resultatvisninger'!$R$10</c:f>
              <c:strCache>
                <c:ptCount val="1"/>
                <c:pt idx="0">
                  <c:v>Energi</c:v>
                </c:pt>
              </c:strCache>
            </c:strRef>
          </c:tx>
          <c:spPr>
            <a:solidFill>
              <a:schemeClr val="accent2"/>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resultatvisninger'!$U$10:$V$10</c:f>
              <c:numCache>
                <c:formatCode>0.0%</c:formatCode>
                <c:ptCount val="2"/>
                <c:pt idx="0">
                  <c:v>8.5500000000000007E-2</c:v>
                </c:pt>
                <c:pt idx="1">
                  <c:v>0</c:v>
                </c:pt>
              </c:numCache>
            </c:numRef>
          </c:val>
          <c:extLst>
            <c:ext xmlns:c16="http://schemas.microsoft.com/office/drawing/2014/chart" uri="{C3380CC4-5D6E-409C-BE32-E72D297353CC}">
              <c16:uniqueId val="{0000001B-05E3-44AF-9161-5C092711BBCE}"/>
            </c:ext>
          </c:extLst>
        </c:ser>
        <c:ser>
          <c:idx val="2"/>
          <c:order val="2"/>
          <c:tx>
            <c:strRef>
              <c:f>'Ekstra resultatvisninger'!$R$14</c:f>
              <c:strCache>
                <c:ptCount val="1"/>
                <c:pt idx="0">
                  <c:v>Vand</c:v>
                </c:pt>
              </c:strCache>
            </c:strRef>
          </c:tx>
          <c:spPr>
            <a:solidFill>
              <a:schemeClr val="accent3"/>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resultatvisninger'!$U$14:$V$14</c:f>
              <c:numCache>
                <c:formatCode>0.0%</c:formatCode>
                <c:ptCount val="2"/>
                <c:pt idx="0">
                  <c:v>2.2500000000000003E-2</c:v>
                </c:pt>
                <c:pt idx="1">
                  <c:v>0</c:v>
                </c:pt>
              </c:numCache>
            </c:numRef>
          </c:val>
          <c:extLst>
            <c:ext xmlns:c16="http://schemas.microsoft.com/office/drawing/2014/chart" uri="{C3380CC4-5D6E-409C-BE32-E72D297353CC}">
              <c16:uniqueId val="{0000001C-05E3-44AF-9161-5C092711BBCE}"/>
            </c:ext>
          </c:extLst>
        </c:ser>
        <c:ser>
          <c:idx val="3"/>
          <c:order val="3"/>
          <c:tx>
            <c:strRef>
              <c:f>'Ekstra resultatvisninger'!$R$19</c:f>
              <c:strCache>
                <c:ptCount val="1"/>
                <c:pt idx="0">
                  <c:v>Beplantning</c:v>
                </c:pt>
              </c:strCache>
            </c:strRef>
          </c:tx>
          <c:spPr>
            <a:solidFill>
              <a:schemeClr val="accent4"/>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resultatvisninger'!$U$19:$V$19</c:f>
              <c:numCache>
                <c:formatCode>0.0%</c:formatCode>
                <c:ptCount val="2"/>
                <c:pt idx="0">
                  <c:v>1.352409638554217E-3</c:v>
                </c:pt>
                <c:pt idx="1">
                  <c:v>0</c:v>
                </c:pt>
              </c:numCache>
            </c:numRef>
          </c:val>
          <c:extLst>
            <c:ext xmlns:c16="http://schemas.microsoft.com/office/drawing/2014/chart" uri="{C3380CC4-5D6E-409C-BE32-E72D297353CC}">
              <c16:uniqueId val="{0000001D-05E3-44AF-9161-5C092711BBCE}"/>
            </c:ext>
          </c:extLst>
        </c:ser>
        <c:ser>
          <c:idx val="4"/>
          <c:order val="4"/>
          <c:tx>
            <c:strRef>
              <c:f>'Ekstra resultatvisninger'!$R$22</c:f>
              <c:strCache>
                <c:ptCount val="1"/>
                <c:pt idx="0">
                  <c:v>Bebyggelsestæthed</c:v>
                </c:pt>
              </c:strCache>
            </c:strRef>
          </c:tx>
          <c:spPr>
            <a:solidFill>
              <a:schemeClr val="accent5"/>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resultatvisninger'!$U$22:$V$22</c:f>
              <c:numCache>
                <c:formatCode>0.0%</c:formatCode>
                <c:ptCount val="2"/>
                <c:pt idx="0">
                  <c:v>4.5000000000000005E-3</c:v>
                </c:pt>
                <c:pt idx="1">
                  <c:v>0</c:v>
                </c:pt>
              </c:numCache>
            </c:numRef>
          </c:val>
          <c:extLst>
            <c:ext xmlns:c16="http://schemas.microsoft.com/office/drawing/2014/chart" uri="{C3380CC4-5D6E-409C-BE32-E72D297353CC}">
              <c16:uniqueId val="{0000001E-05E3-44AF-9161-5C092711BBCE}"/>
            </c:ext>
          </c:extLst>
        </c:ser>
        <c:ser>
          <c:idx val="5"/>
          <c:order val="5"/>
          <c:tx>
            <c:strRef>
              <c:f>'Ekstra resultatvisninger'!$R$25</c:f>
              <c:strCache>
                <c:ptCount val="1"/>
                <c:pt idx="0">
                  <c:v>Forurening</c:v>
                </c:pt>
              </c:strCache>
            </c:strRef>
          </c:tx>
          <c:spPr>
            <a:solidFill>
              <a:schemeClr val="accent6"/>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resultatvisninger'!$U$25:$V$25</c:f>
              <c:numCache>
                <c:formatCode>0.0%</c:formatCode>
                <c:ptCount val="2"/>
                <c:pt idx="0">
                  <c:v>1.4625000000000003E-2</c:v>
                </c:pt>
                <c:pt idx="1">
                  <c:v>0</c:v>
                </c:pt>
              </c:numCache>
            </c:numRef>
          </c:val>
          <c:extLst>
            <c:ext xmlns:c16="http://schemas.microsoft.com/office/drawing/2014/chart" uri="{C3380CC4-5D6E-409C-BE32-E72D297353CC}">
              <c16:uniqueId val="{0000001F-05E3-44AF-9161-5C092711BBCE}"/>
            </c:ext>
          </c:extLst>
        </c:ser>
        <c:dLbls>
          <c:showLegendKey val="0"/>
          <c:showVal val="0"/>
          <c:showCatName val="0"/>
          <c:showSerName val="0"/>
          <c:showPercent val="0"/>
          <c:showBubbleSize val="0"/>
        </c:dLbls>
        <c:gapWidth val="55"/>
        <c:overlap val="100"/>
        <c:axId val="817435152"/>
        <c:axId val="817435712"/>
        <c:extLst/>
      </c:barChart>
      <c:catAx>
        <c:axId val="81743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435712"/>
        <c:crosses val="autoZero"/>
        <c:auto val="1"/>
        <c:lblAlgn val="ctr"/>
        <c:lblOffset val="100"/>
        <c:noMultiLvlLbl val="0"/>
      </c:catAx>
      <c:valAx>
        <c:axId val="817435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435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Økonomi</a:t>
            </a:r>
            <a:r>
              <a:rPr lang="da-DK" baseline="0"/>
              <a:t> ift. DGNB 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resultatvisninger'!$R$30</c:f>
              <c:strCache>
                <c:ptCount val="1"/>
                <c:pt idx="0">
                  <c:v>Levetidsomkostninger</c:v>
                </c:pt>
              </c:strCache>
            </c:strRef>
          </c:tx>
          <c:spPr>
            <a:solidFill>
              <a:schemeClr val="accent1"/>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resultatvisninger'!$U$30:$V$30</c:f>
              <c:numCache>
                <c:formatCode>0.0%</c:formatCode>
                <c:ptCount val="2"/>
                <c:pt idx="0">
                  <c:v>0.1108695652173913</c:v>
                </c:pt>
                <c:pt idx="1">
                  <c:v>0</c:v>
                </c:pt>
              </c:numCache>
            </c:numRef>
          </c:val>
          <c:extLst>
            <c:ext xmlns:c16="http://schemas.microsoft.com/office/drawing/2014/chart" uri="{C3380CC4-5D6E-409C-BE32-E72D297353CC}">
              <c16:uniqueId val="{00000012-FDC7-4292-96ED-83076999C4E5}"/>
            </c:ext>
          </c:extLst>
        </c:ser>
        <c:ser>
          <c:idx val="1"/>
          <c:order val="1"/>
          <c:tx>
            <c:strRef>
              <c:f>'Ekstra resultatvisninger'!$R$35</c:f>
              <c:strCache>
                <c:ptCount val="1"/>
                <c:pt idx="0">
                  <c:v>Fleksibilitet</c:v>
                </c:pt>
              </c:strCache>
            </c:strRef>
          </c:tx>
          <c:spPr>
            <a:solidFill>
              <a:schemeClr val="accent2"/>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resultatvisninger'!$U$35:$V$35</c:f>
              <c:numCache>
                <c:formatCode>0.0%</c:formatCode>
                <c:ptCount val="2"/>
                <c:pt idx="0">
                  <c:v>6.1766758761087677E-2</c:v>
                </c:pt>
                <c:pt idx="1">
                  <c:v>0</c:v>
                </c:pt>
              </c:numCache>
            </c:numRef>
          </c:val>
          <c:extLst>
            <c:ext xmlns:c16="http://schemas.microsoft.com/office/drawing/2014/chart" uri="{C3380CC4-5D6E-409C-BE32-E72D297353CC}">
              <c16:uniqueId val="{00000013-FDC7-4292-96ED-83076999C4E5}"/>
            </c:ext>
          </c:extLst>
        </c:ser>
        <c:ser>
          <c:idx val="2"/>
          <c:order val="2"/>
          <c:tx>
            <c:strRef>
              <c:f>'Ekstra resultatvisninger'!$R$44</c:f>
              <c:strCache>
                <c:ptCount val="1"/>
                <c:pt idx="0">
                  <c:v>Robusthed</c:v>
                </c:pt>
              </c:strCache>
            </c:strRef>
          </c:tx>
          <c:spPr>
            <a:solidFill>
              <a:schemeClr val="accent3"/>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resultatvisninger'!$U$44:$V$44</c:f>
              <c:numCache>
                <c:formatCode>0.0%</c:formatCode>
                <c:ptCount val="2"/>
                <c:pt idx="0">
                  <c:v>1.3947092718700892E-2</c:v>
                </c:pt>
                <c:pt idx="1">
                  <c:v>0</c:v>
                </c:pt>
              </c:numCache>
            </c:numRef>
          </c:val>
          <c:extLst>
            <c:ext xmlns:c16="http://schemas.microsoft.com/office/drawing/2014/chart" uri="{C3380CC4-5D6E-409C-BE32-E72D297353CC}">
              <c16:uniqueId val="{00000014-FDC7-4292-96ED-83076999C4E5}"/>
            </c:ext>
          </c:extLst>
        </c:ser>
        <c:dLbls>
          <c:showLegendKey val="0"/>
          <c:showVal val="0"/>
          <c:showCatName val="0"/>
          <c:showSerName val="0"/>
          <c:showPercent val="0"/>
          <c:showBubbleSize val="0"/>
        </c:dLbls>
        <c:gapWidth val="55"/>
        <c:overlap val="100"/>
        <c:axId val="817649936"/>
        <c:axId val="817650496"/>
        <c:extLst/>
      </c:barChart>
      <c:catAx>
        <c:axId val="81764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650496"/>
        <c:crosses val="autoZero"/>
        <c:auto val="1"/>
        <c:lblAlgn val="ctr"/>
        <c:lblOffset val="100"/>
        <c:noMultiLvlLbl val="0"/>
      </c:catAx>
      <c:valAx>
        <c:axId val="8176504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649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Sociale hensyn</a:t>
            </a:r>
            <a:r>
              <a:rPr lang="da-DK" baseline="0"/>
              <a:t> ift. DGNB 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resultatvisninger'!$R$49</c:f>
              <c:strCache>
                <c:ptCount val="1"/>
                <c:pt idx="0">
                  <c:v>Beplantning</c:v>
                </c:pt>
              </c:strCache>
            </c:strRef>
          </c:tx>
          <c:spPr>
            <a:solidFill>
              <a:schemeClr val="accent1"/>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resultatvisninger'!$U$49:$V$49</c:f>
              <c:numCache>
                <c:formatCode>0.0%</c:formatCode>
                <c:ptCount val="2"/>
                <c:pt idx="0">
                  <c:v>5.0256024096385545E-3</c:v>
                </c:pt>
                <c:pt idx="1">
                  <c:v>0</c:v>
                </c:pt>
              </c:numCache>
            </c:numRef>
          </c:val>
          <c:extLst>
            <c:ext xmlns:c16="http://schemas.microsoft.com/office/drawing/2014/chart" uri="{C3380CC4-5D6E-409C-BE32-E72D297353CC}">
              <c16:uniqueId val="{00000035-D757-40B0-9756-D1C0B3FF0736}"/>
            </c:ext>
          </c:extLst>
        </c:ser>
        <c:ser>
          <c:idx val="1"/>
          <c:order val="1"/>
          <c:tx>
            <c:strRef>
              <c:f>'Ekstra resultatvisninger'!$R$55</c:f>
              <c:strCache>
                <c:ptCount val="1"/>
                <c:pt idx="0">
                  <c:v>Robusthed</c:v>
                </c:pt>
              </c:strCache>
            </c:strRef>
          </c:tx>
          <c:spPr>
            <a:solidFill>
              <a:schemeClr val="accent2"/>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resultatvisninger'!$U$55:$V$55</c:f>
              <c:numCache>
                <c:formatCode>0.0%</c:formatCode>
                <c:ptCount val="2"/>
                <c:pt idx="0">
                  <c:v>1.8072289156626509E-3</c:v>
                </c:pt>
                <c:pt idx="1">
                  <c:v>0</c:v>
                </c:pt>
              </c:numCache>
            </c:numRef>
          </c:val>
          <c:extLst>
            <c:ext xmlns:c16="http://schemas.microsoft.com/office/drawing/2014/chart" uri="{C3380CC4-5D6E-409C-BE32-E72D297353CC}">
              <c16:uniqueId val="{00000036-D757-40B0-9756-D1C0B3FF0736}"/>
            </c:ext>
          </c:extLst>
        </c:ser>
        <c:ser>
          <c:idx val="2"/>
          <c:order val="2"/>
          <c:tx>
            <c:strRef>
              <c:f>'Ekstra resultatvisninger'!$R$58</c:f>
              <c:strCache>
                <c:ptCount val="1"/>
                <c:pt idx="0">
                  <c:v>Indeklima</c:v>
                </c:pt>
              </c:strCache>
            </c:strRef>
          </c:tx>
          <c:spPr>
            <a:solidFill>
              <a:schemeClr val="accent3"/>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resultatvisninger'!$U$58:$V$58</c:f>
              <c:numCache>
                <c:formatCode>0.0%</c:formatCode>
                <c:ptCount val="2"/>
                <c:pt idx="0">
                  <c:v>9.9397590361445784E-2</c:v>
                </c:pt>
                <c:pt idx="1">
                  <c:v>0</c:v>
                </c:pt>
              </c:numCache>
            </c:numRef>
          </c:val>
          <c:extLst>
            <c:ext xmlns:c16="http://schemas.microsoft.com/office/drawing/2014/chart" uri="{C3380CC4-5D6E-409C-BE32-E72D297353CC}">
              <c16:uniqueId val="{00000037-D757-40B0-9756-D1C0B3FF0736}"/>
            </c:ext>
          </c:extLst>
        </c:ser>
        <c:ser>
          <c:idx val="3"/>
          <c:order val="3"/>
          <c:tx>
            <c:strRef>
              <c:f>'Ekstra resultatvisninger'!$R$69</c:f>
              <c:strCache>
                <c:ptCount val="1"/>
                <c:pt idx="0">
                  <c:v>Brugerstyring</c:v>
                </c:pt>
              </c:strCache>
            </c:strRef>
          </c:tx>
          <c:spPr>
            <a:solidFill>
              <a:schemeClr val="accent4"/>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resultatvisninger'!$U$69:$V$69</c:f>
              <c:numCache>
                <c:formatCode>0.0%</c:formatCode>
                <c:ptCount val="2"/>
                <c:pt idx="0">
                  <c:v>1.8072289156626505E-2</c:v>
                </c:pt>
                <c:pt idx="1">
                  <c:v>0</c:v>
                </c:pt>
              </c:numCache>
            </c:numRef>
          </c:val>
          <c:extLst>
            <c:ext xmlns:c16="http://schemas.microsoft.com/office/drawing/2014/chart" uri="{C3380CC4-5D6E-409C-BE32-E72D297353CC}">
              <c16:uniqueId val="{00000038-D757-40B0-9756-D1C0B3FF0736}"/>
            </c:ext>
          </c:extLst>
        </c:ser>
        <c:ser>
          <c:idx val="4"/>
          <c:order val="4"/>
          <c:tx>
            <c:strRef>
              <c:f>'Ekstra resultatvisninger'!$R$74</c:f>
              <c:strCache>
                <c:ptCount val="1"/>
                <c:pt idx="0">
                  <c:v>Tilgængelighed</c:v>
                </c:pt>
              </c:strCache>
            </c:strRef>
          </c:tx>
          <c:spPr>
            <a:solidFill>
              <a:schemeClr val="accent5"/>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resultatvisninger'!$U$74:$V$74</c:f>
              <c:numCache>
                <c:formatCode>0.0%</c:formatCode>
                <c:ptCount val="2"/>
                <c:pt idx="0">
                  <c:v>0</c:v>
                </c:pt>
                <c:pt idx="1">
                  <c:v>0</c:v>
                </c:pt>
              </c:numCache>
            </c:numRef>
          </c:val>
          <c:extLst>
            <c:ext xmlns:c16="http://schemas.microsoft.com/office/drawing/2014/chart" uri="{C3380CC4-5D6E-409C-BE32-E72D297353CC}">
              <c16:uniqueId val="{00000039-D757-40B0-9756-D1C0B3FF0736}"/>
            </c:ext>
          </c:extLst>
        </c:ser>
        <c:ser>
          <c:idx val="5"/>
          <c:order val="5"/>
          <c:tx>
            <c:strRef>
              <c:f>'Ekstra resultatvisninger'!$R$78</c:f>
              <c:strCache>
                <c:ptCount val="1"/>
                <c:pt idx="0">
                  <c:v>Udearealer</c:v>
                </c:pt>
              </c:strCache>
            </c:strRef>
          </c:tx>
          <c:spPr>
            <a:solidFill>
              <a:schemeClr val="accent6"/>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resultatvisninger'!$U$78:$V$78</c:f>
              <c:numCache>
                <c:formatCode>0.0%</c:formatCode>
                <c:ptCount val="2"/>
                <c:pt idx="0">
                  <c:v>1.0301204819277109E-2</c:v>
                </c:pt>
                <c:pt idx="1">
                  <c:v>0</c:v>
                </c:pt>
              </c:numCache>
            </c:numRef>
          </c:val>
          <c:extLst>
            <c:ext xmlns:c16="http://schemas.microsoft.com/office/drawing/2014/chart" uri="{C3380CC4-5D6E-409C-BE32-E72D297353CC}">
              <c16:uniqueId val="{0000003A-D757-40B0-9756-D1C0B3FF0736}"/>
            </c:ext>
          </c:extLst>
        </c:ser>
        <c:ser>
          <c:idx val="6"/>
          <c:order val="6"/>
          <c:tx>
            <c:strRef>
              <c:f>'Ekstra resultatvisninger'!$R$82</c:f>
              <c:strCache>
                <c:ptCount val="1"/>
                <c:pt idx="0">
                  <c:v>Cyklister</c:v>
                </c:pt>
              </c:strCache>
            </c:strRef>
          </c:tx>
          <c:spPr>
            <a:solidFill>
              <a:schemeClr val="accent1">
                <a:lumMod val="60000"/>
              </a:schemeClr>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resultatvisninger'!$U$82:$V$82</c:f>
              <c:numCache>
                <c:formatCode>0.0%</c:formatCode>
                <c:ptCount val="2"/>
                <c:pt idx="0">
                  <c:v>9.0361445783132526E-3</c:v>
                </c:pt>
                <c:pt idx="1">
                  <c:v>0</c:v>
                </c:pt>
              </c:numCache>
            </c:numRef>
          </c:val>
          <c:extLst>
            <c:ext xmlns:c16="http://schemas.microsoft.com/office/drawing/2014/chart" uri="{C3380CC4-5D6E-409C-BE32-E72D297353CC}">
              <c16:uniqueId val="{0000003B-D757-40B0-9756-D1C0B3FF0736}"/>
            </c:ext>
          </c:extLst>
        </c:ser>
        <c:ser>
          <c:idx val="7"/>
          <c:order val="7"/>
          <c:tx>
            <c:strRef>
              <c:f>'Ekstra resultatvisninger'!$R$87</c:f>
              <c:strCache>
                <c:ptCount val="1"/>
                <c:pt idx="0">
                  <c:v>Tryghed og sikkerhed</c:v>
                </c:pt>
              </c:strCache>
            </c:strRef>
          </c:tx>
          <c:spPr>
            <a:solidFill>
              <a:schemeClr val="accent2">
                <a:lumMod val="60000"/>
              </a:schemeClr>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resultatvisninger'!$U$87:$V$87</c:f>
              <c:numCache>
                <c:formatCode>0.0%</c:formatCode>
                <c:ptCount val="2"/>
                <c:pt idx="0">
                  <c:v>1.1190917516218722E-2</c:v>
                </c:pt>
                <c:pt idx="1">
                  <c:v>0</c:v>
                </c:pt>
              </c:numCache>
            </c:numRef>
          </c:val>
          <c:extLst>
            <c:ext xmlns:c16="http://schemas.microsoft.com/office/drawing/2014/chart" uri="{C3380CC4-5D6E-409C-BE32-E72D297353CC}">
              <c16:uniqueId val="{0000003C-D757-40B0-9756-D1C0B3FF0736}"/>
            </c:ext>
          </c:extLst>
        </c:ser>
        <c:ser>
          <c:idx val="8"/>
          <c:order val="8"/>
          <c:tx>
            <c:strRef>
              <c:f>'Ekstra resultatvisninger'!$R$91</c:f>
              <c:strCache>
                <c:ptCount val="1"/>
                <c:pt idx="0">
                  <c:v>Arkitektonisk kvalitet</c:v>
                </c:pt>
              </c:strCache>
            </c:strRef>
          </c:tx>
          <c:spPr>
            <a:solidFill>
              <a:schemeClr val="accent3">
                <a:lumMod val="60000"/>
              </a:schemeClr>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resultatvisninger'!$U$91:$V$91</c:f>
              <c:numCache>
                <c:formatCode>0.0%</c:formatCode>
                <c:ptCount val="2"/>
                <c:pt idx="0">
                  <c:v>2.4E-2</c:v>
                </c:pt>
                <c:pt idx="1">
                  <c:v>0</c:v>
                </c:pt>
              </c:numCache>
            </c:numRef>
          </c:val>
          <c:extLst>
            <c:ext xmlns:c16="http://schemas.microsoft.com/office/drawing/2014/chart" uri="{C3380CC4-5D6E-409C-BE32-E72D297353CC}">
              <c16:uniqueId val="{0000003D-D757-40B0-9756-D1C0B3FF0736}"/>
            </c:ext>
          </c:extLst>
        </c:ser>
        <c:ser>
          <c:idx val="9"/>
          <c:order val="9"/>
          <c:tx>
            <c:strRef>
              <c:f>'Ekstra resultatvisninger'!$R$97</c:f>
              <c:strCache>
                <c:ptCount val="1"/>
                <c:pt idx="0">
                  <c:v>Plandisponering</c:v>
                </c:pt>
              </c:strCache>
            </c:strRef>
          </c:tx>
          <c:spPr>
            <a:solidFill>
              <a:schemeClr val="accent4">
                <a:lumMod val="60000"/>
              </a:schemeClr>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resultatvisninger'!$U$97:$V$97</c:f>
              <c:numCache>
                <c:formatCode>0.0%</c:formatCode>
                <c:ptCount val="2"/>
                <c:pt idx="0">
                  <c:v>1.7981927710843375E-2</c:v>
                </c:pt>
                <c:pt idx="1">
                  <c:v>0</c:v>
                </c:pt>
              </c:numCache>
            </c:numRef>
          </c:val>
          <c:extLst>
            <c:ext xmlns:c16="http://schemas.microsoft.com/office/drawing/2014/chart" uri="{C3380CC4-5D6E-409C-BE32-E72D297353CC}">
              <c16:uniqueId val="{0000003E-D757-40B0-9756-D1C0B3FF0736}"/>
            </c:ext>
          </c:extLst>
        </c:ser>
        <c:dLbls>
          <c:showLegendKey val="0"/>
          <c:showVal val="0"/>
          <c:showCatName val="0"/>
          <c:showSerName val="0"/>
          <c:showPercent val="0"/>
          <c:showBubbleSize val="0"/>
        </c:dLbls>
        <c:gapWidth val="55"/>
        <c:overlap val="100"/>
        <c:axId val="817944400"/>
        <c:axId val="817944960"/>
        <c:extLst/>
      </c:barChart>
      <c:catAx>
        <c:axId val="81794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944960"/>
        <c:crosses val="autoZero"/>
        <c:auto val="1"/>
        <c:lblAlgn val="ctr"/>
        <c:lblOffset val="100"/>
        <c:noMultiLvlLbl val="0"/>
      </c:catAx>
      <c:valAx>
        <c:axId val="8179449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9444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Teknisk kvalitet </a:t>
            </a:r>
            <a:r>
              <a:rPr lang="da-DK" baseline="0"/>
              <a:t>ift. DGNB 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resultatvisninger'!$R$116</c:f>
              <c:strCache>
                <c:ptCount val="1"/>
                <c:pt idx="0">
                  <c:v>Materialer</c:v>
                </c:pt>
              </c:strCache>
            </c:strRef>
          </c:tx>
          <c:spPr>
            <a:solidFill>
              <a:schemeClr val="accent1"/>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resultatvisninger'!$U$116:$V$116</c:f>
              <c:numCache>
                <c:formatCode>0.0%</c:formatCode>
                <c:ptCount val="2"/>
                <c:pt idx="0">
                  <c:v>1.7307692307692309E-2</c:v>
                </c:pt>
                <c:pt idx="1">
                  <c:v>0</c:v>
                </c:pt>
              </c:numCache>
            </c:numRef>
          </c:val>
          <c:extLst>
            <c:ext xmlns:c16="http://schemas.microsoft.com/office/drawing/2014/chart" uri="{C3380CC4-5D6E-409C-BE32-E72D297353CC}">
              <c16:uniqueId val="{0000000E-95DC-473A-94E5-8DFCC6B4165D}"/>
            </c:ext>
          </c:extLst>
        </c:ser>
        <c:ser>
          <c:idx val="1"/>
          <c:order val="1"/>
          <c:tx>
            <c:strRef>
              <c:f>'Ekstra resultatvisninger'!$R$119</c:f>
              <c:strCache>
                <c:ptCount val="1"/>
                <c:pt idx="0">
                  <c:v>Fleksibilitet</c:v>
                </c:pt>
              </c:strCache>
            </c:strRef>
          </c:tx>
          <c:spPr>
            <a:solidFill>
              <a:schemeClr val="accent2"/>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resultatvisninger'!$U$119:$V$119</c:f>
              <c:numCache>
                <c:formatCode>0.0%</c:formatCode>
                <c:ptCount val="2"/>
                <c:pt idx="0">
                  <c:v>1.3170532208811982E-2</c:v>
                </c:pt>
                <c:pt idx="1">
                  <c:v>0</c:v>
                </c:pt>
              </c:numCache>
            </c:numRef>
          </c:val>
          <c:extLst>
            <c:ext xmlns:c16="http://schemas.microsoft.com/office/drawing/2014/chart" uri="{C3380CC4-5D6E-409C-BE32-E72D297353CC}">
              <c16:uniqueId val="{0000000F-95DC-473A-94E5-8DFCC6B4165D}"/>
            </c:ext>
          </c:extLst>
        </c:ser>
        <c:ser>
          <c:idx val="2"/>
          <c:order val="2"/>
          <c:tx>
            <c:strRef>
              <c:f>'Ekstra resultatvisninger'!$R$123</c:f>
              <c:strCache>
                <c:ptCount val="1"/>
                <c:pt idx="0">
                  <c:v>Indeklima</c:v>
                </c:pt>
              </c:strCache>
            </c:strRef>
          </c:tx>
          <c:spPr>
            <a:solidFill>
              <a:schemeClr val="accent3"/>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resultatvisninger'!$U$123:$V$123</c:f>
              <c:numCache>
                <c:formatCode>0.0%</c:formatCode>
                <c:ptCount val="2"/>
                <c:pt idx="0">
                  <c:v>3.4615384615384617E-2</c:v>
                </c:pt>
                <c:pt idx="1">
                  <c:v>0</c:v>
                </c:pt>
              </c:numCache>
            </c:numRef>
          </c:val>
          <c:extLst>
            <c:ext xmlns:c16="http://schemas.microsoft.com/office/drawing/2014/chart" uri="{C3380CC4-5D6E-409C-BE32-E72D297353CC}">
              <c16:uniqueId val="{00000010-95DC-473A-94E5-8DFCC6B4165D}"/>
            </c:ext>
          </c:extLst>
        </c:ser>
        <c:ser>
          <c:idx val="3"/>
          <c:order val="3"/>
          <c:tx>
            <c:strRef>
              <c:f>'Ekstra resultatvisninger'!$R$126</c:f>
              <c:strCache>
                <c:ptCount val="1"/>
                <c:pt idx="0">
                  <c:v>Personsikkerhed</c:v>
                </c:pt>
              </c:strCache>
            </c:strRef>
          </c:tx>
          <c:spPr>
            <a:solidFill>
              <a:schemeClr val="accent4"/>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resultatvisninger'!$U$126:$V$126</c:f>
              <c:numCache>
                <c:formatCode>0.0%</c:formatCode>
                <c:ptCount val="2"/>
                <c:pt idx="0">
                  <c:v>2.8846153846153848E-2</c:v>
                </c:pt>
                <c:pt idx="1">
                  <c:v>0</c:v>
                </c:pt>
              </c:numCache>
            </c:numRef>
          </c:val>
          <c:extLst>
            <c:ext xmlns:c16="http://schemas.microsoft.com/office/drawing/2014/chart" uri="{C3380CC4-5D6E-409C-BE32-E72D297353CC}">
              <c16:uniqueId val="{00000011-95DC-473A-94E5-8DFCC6B4165D}"/>
            </c:ext>
          </c:extLst>
        </c:ser>
        <c:ser>
          <c:idx val="4"/>
          <c:order val="4"/>
          <c:tx>
            <c:strRef>
              <c:f>'Ekstra resultatvisninger'!$R$130</c:f>
              <c:strCache>
                <c:ptCount val="1"/>
                <c:pt idx="0">
                  <c:v>Klimaskærmens kvalitet</c:v>
                </c:pt>
              </c:strCache>
            </c:strRef>
          </c:tx>
          <c:spPr>
            <a:solidFill>
              <a:schemeClr val="accent5"/>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resultatvisninger'!$U$130:$V$130</c:f>
              <c:numCache>
                <c:formatCode>0.0%</c:formatCode>
                <c:ptCount val="2"/>
                <c:pt idx="0">
                  <c:v>3.9807692307692301E-2</c:v>
                </c:pt>
                <c:pt idx="1">
                  <c:v>0</c:v>
                </c:pt>
              </c:numCache>
            </c:numRef>
          </c:val>
          <c:extLst>
            <c:ext xmlns:c16="http://schemas.microsoft.com/office/drawing/2014/chart" uri="{C3380CC4-5D6E-409C-BE32-E72D297353CC}">
              <c16:uniqueId val="{00000012-95DC-473A-94E5-8DFCC6B4165D}"/>
            </c:ext>
          </c:extLst>
        </c:ser>
        <c:ser>
          <c:idx val="5"/>
          <c:order val="5"/>
          <c:tx>
            <c:strRef>
              <c:f>'Ekstra resultatvisninger'!$R$139</c:f>
              <c:strCache>
                <c:ptCount val="1"/>
                <c:pt idx="0">
                  <c:v>Renhold og vedligehold</c:v>
                </c:pt>
              </c:strCache>
            </c:strRef>
          </c:tx>
          <c:spPr>
            <a:solidFill>
              <a:schemeClr val="accent6"/>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resultatvisninger'!$U$139:$V$139</c:f>
              <c:numCache>
                <c:formatCode>0.0%</c:formatCode>
                <c:ptCount val="2"/>
                <c:pt idx="0">
                  <c:v>3.4615384615384617E-2</c:v>
                </c:pt>
                <c:pt idx="1">
                  <c:v>0</c:v>
                </c:pt>
              </c:numCache>
            </c:numRef>
          </c:val>
          <c:extLst>
            <c:ext xmlns:c16="http://schemas.microsoft.com/office/drawing/2014/chart" uri="{C3380CC4-5D6E-409C-BE32-E72D297353CC}">
              <c16:uniqueId val="{00000013-95DC-473A-94E5-8DFCC6B4165D}"/>
            </c:ext>
          </c:extLst>
        </c:ser>
        <c:dLbls>
          <c:showLegendKey val="0"/>
          <c:showVal val="0"/>
          <c:showCatName val="0"/>
          <c:showSerName val="0"/>
          <c:showPercent val="0"/>
          <c:showBubbleSize val="0"/>
        </c:dLbls>
        <c:gapWidth val="55"/>
        <c:overlap val="100"/>
        <c:axId val="818409696"/>
        <c:axId val="818410256"/>
        <c:extLst/>
      </c:barChart>
      <c:catAx>
        <c:axId val="81840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410256"/>
        <c:crosses val="autoZero"/>
        <c:auto val="1"/>
        <c:lblAlgn val="ctr"/>
        <c:lblOffset val="100"/>
        <c:noMultiLvlLbl val="0"/>
      </c:catAx>
      <c:valAx>
        <c:axId val="818410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409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Proces </a:t>
            </a:r>
            <a:r>
              <a:rPr lang="da-DK" baseline="0"/>
              <a:t>ift. DGNB 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resultatvisninger'!$R$150</c:f>
              <c:strCache>
                <c:ptCount val="1"/>
                <c:pt idx="0">
                  <c:v>Tryghed og sikkerhed</c:v>
                </c:pt>
              </c:strCache>
            </c:strRef>
          </c:tx>
          <c:spPr>
            <a:solidFill>
              <a:schemeClr val="accent1"/>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resultatvisninger'!$U$150:$V$150</c:f>
              <c:numCache>
                <c:formatCode>0.0%</c:formatCode>
                <c:ptCount val="2"/>
                <c:pt idx="0">
                  <c:v>0</c:v>
                </c:pt>
                <c:pt idx="1">
                  <c:v>0</c:v>
                </c:pt>
              </c:numCache>
            </c:numRef>
          </c:val>
          <c:extLst>
            <c:ext xmlns:c16="http://schemas.microsoft.com/office/drawing/2014/chart" uri="{C3380CC4-5D6E-409C-BE32-E72D297353CC}">
              <c16:uniqueId val="{0000002A-8BB1-403B-BEF7-B9055D6DD965}"/>
            </c:ext>
          </c:extLst>
        </c:ser>
        <c:ser>
          <c:idx val="1"/>
          <c:order val="1"/>
          <c:tx>
            <c:strRef>
              <c:f>'Ekstra resultatvisninger'!$R$153</c:f>
              <c:strCache>
                <c:ptCount val="1"/>
                <c:pt idx="0">
                  <c:v>Byggeprogram</c:v>
                </c:pt>
              </c:strCache>
            </c:strRef>
          </c:tx>
          <c:spPr>
            <a:solidFill>
              <a:schemeClr val="accent2"/>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resultatvisninger'!$U$153:$V$153</c:f>
              <c:numCache>
                <c:formatCode>0.0%</c:formatCode>
                <c:ptCount val="2"/>
                <c:pt idx="0">
                  <c:v>1.1666666666666665E-2</c:v>
                </c:pt>
                <c:pt idx="1">
                  <c:v>0</c:v>
                </c:pt>
              </c:numCache>
            </c:numRef>
          </c:val>
          <c:extLst>
            <c:ext xmlns:c16="http://schemas.microsoft.com/office/drawing/2014/chart" uri="{C3380CC4-5D6E-409C-BE32-E72D297353CC}">
              <c16:uniqueId val="{0000002B-8BB1-403B-BEF7-B9055D6DD965}"/>
            </c:ext>
          </c:extLst>
        </c:ser>
        <c:ser>
          <c:idx val="2"/>
          <c:order val="2"/>
          <c:tx>
            <c:strRef>
              <c:f>'Ekstra resultatvisninger'!$R$156</c:f>
              <c:strCache>
                <c:ptCount val="1"/>
                <c:pt idx="0">
                  <c:v>Integreret designproces</c:v>
                </c:pt>
              </c:strCache>
            </c:strRef>
          </c:tx>
          <c:spPr>
            <a:solidFill>
              <a:schemeClr val="accent3"/>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resultatvisninger'!$U$156:$V$156</c:f>
              <c:numCache>
                <c:formatCode>0.0%</c:formatCode>
                <c:ptCount val="2"/>
                <c:pt idx="0">
                  <c:v>2.1666666666666667E-2</c:v>
                </c:pt>
                <c:pt idx="1">
                  <c:v>0</c:v>
                </c:pt>
              </c:numCache>
            </c:numRef>
          </c:val>
          <c:extLst>
            <c:ext xmlns:c16="http://schemas.microsoft.com/office/drawing/2014/chart" uri="{C3380CC4-5D6E-409C-BE32-E72D297353CC}">
              <c16:uniqueId val="{0000002C-8BB1-403B-BEF7-B9055D6DD965}"/>
            </c:ext>
          </c:extLst>
        </c:ser>
        <c:ser>
          <c:idx val="3"/>
          <c:order val="3"/>
          <c:tx>
            <c:strRef>
              <c:f>'Ekstra resultatvisninger'!$R$163</c:f>
              <c:strCache>
                <c:ptCount val="1"/>
                <c:pt idx="0">
                  <c:v>Koncepter</c:v>
                </c:pt>
              </c:strCache>
            </c:strRef>
          </c:tx>
          <c:spPr>
            <a:solidFill>
              <a:schemeClr val="accent4"/>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resultatvisninger'!$U$163:$V$163</c:f>
              <c:numCache>
                <c:formatCode>0.0%</c:formatCode>
                <c:ptCount val="2"/>
                <c:pt idx="0">
                  <c:v>3.6231884057971009E-2</c:v>
                </c:pt>
                <c:pt idx="1">
                  <c:v>0</c:v>
                </c:pt>
              </c:numCache>
            </c:numRef>
          </c:val>
          <c:extLst>
            <c:ext xmlns:c16="http://schemas.microsoft.com/office/drawing/2014/chart" uri="{C3380CC4-5D6E-409C-BE32-E72D297353CC}">
              <c16:uniqueId val="{0000002D-8BB1-403B-BEF7-B9055D6DD965}"/>
            </c:ext>
          </c:extLst>
        </c:ser>
        <c:ser>
          <c:idx val="4"/>
          <c:order val="4"/>
          <c:tx>
            <c:strRef>
              <c:f>'Ekstra resultatvisninger'!$R$166</c:f>
              <c:strCache>
                <c:ptCount val="1"/>
                <c:pt idx="0">
                  <c:v>Entrepriseudbud</c:v>
                </c:pt>
              </c:strCache>
            </c:strRef>
          </c:tx>
          <c:spPr>
            <a:solidFill>
              <a:schemeClr val="accent5"/>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resultatvisninger'!$U$166:$V$166</c:f>
              <c:numCache>
                <c:formatCode>0.0%</c:formatCode>
                <c:ptCount val="2"/>
                <c:pt idx="0">
                  <c:v>1.1111111111111112E-2</c:v>
                </c:pt>
                <c:pt idx="1">
                  <c:v>0</c:v>
                </c:pt>
              </c:numCache>
            </c:numRef>
          </c:val>
          <c:extLst>
            <c:ext xmlns:c16="http://schemas.microsoft.com/office/drawing/2014/chart" uri="{C3380CC4-5D6E-409C-BE32-E72D297353CC}">
              <c16:uniqueId val="{0000002E-8BB1-403B-BEF7-B9055D6DD965}"/>
            </c:ext>
          </c:extLst>
        </c:ser>
        <c:ser>
          <c:idx val="5"/>
          <c:order val="5"/>
          <c:tx>
            <c:strRef>
              <c:f>'Ekstra resultatvisninger'!$R$169</c:f>
              <c:strCache>
                <c:ptCount val="1"/>
                <c:pt idx="0">
                  <c:v>Kvalitet af aflevering til driftspersonale</c:v>
                </c:pt>
              </c:strCache>
            </c:strRef>
          </c:tx>
          <c:spPr>
            <a:solidFill>
              <a:schemeClr val="accent6"/>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resultatvisninger'!$U$169:$V$169</c:f>
              <c:numCache>
                <c:formatCode>0.0%</c:formatCode>
                <c:ptCount val="2"/>
                <c:pt idx="0">
                  <c:v>1.1111111111111112E-2</c:v>
                </c:pt>
                <c:pt idx="1">
                  <c:v>0</c:v>
                </c:pt>
              </c:numCache>
            </c:numRef>
          </c:val>
          <c:extLst>
            <c:ext xmlns:c16="http://schemas.microsoft.com/office/drawing/2014/chart" uri="{C3380CC4-5D6E-409C-BE32-E72D297353CC}">
              <c16:uniqueId val="{0000002F-8BB1-403B-BEF7-B9055D6DD965}"/>
            </c:ext>
          </c:extLst>
        </c:ser>
        <c:ser>
          <c:idx val="6"/>
          <c:order val="6"/>
          <c:tx>
            <c:strRef>
              <c:f>'Ekstra resultatvisninger'!$R$174</c:f>
              <c:strCache>
                <c:ptCount val="1"/>
                <c:pt idx="0">
                  <c:v>Byggeplads</c:v>
                </c:pt>
              </c:strCache>
            </c:strRef>
          </c:tx>
          <c:spPr>
            <a:solidFill>
              <a:schemeClr val="accent1">
                <a:lumMod val="60000"/>
              </a:schemeClr>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resultatvisninger'!$U$174:$V$174</c:f>
              <c:numCache>
                <c:formatCode>0.0%</c:formatCode>
                <c:ptCount val="2"/>
                <c:pt idx="0">
                  <c:v>0.01</c:v>
                </c:pt>
                <c:pt idx="1">
                  <c:v>0</c:v>
                </c:pt>
              </c:numCache>
            </c:numRef>
          </c:val>
          <c:extLst>
            <c:ext xmlns:c16="http://schemas.microsoft.com/office/drawing/2014/chart" uri="{C3380CC4-5D6E-409C-BE32-E72D297353CC}">
              <c16:uniqueId val="{00000030-8BB1-403B-BEF7-B9055D6DD965}"/>
            </c:ext>
          </c:extLst>
        </c:ser>
        <c:ser>
          <c:idx val="7"/>
          <c:order val="7"/>
          <c:tx>
            <c:strRef>
              <c:f>'Ekstra resultatvisninger'!$R$182</c:f>
              <c:strCache>
                <c:ptCount val="1"/>
                <c:pt idx="0">
                  <c:v>Eftervisende dokumentation</c:v>
                </c:pt>
              </c:strCache>
            </c:strRef>
          </c:tx>
          <c:spPr>
            <a:solidFill>
              <a:schemeClr val="accent2">
                <a:lumMod val="60000"/>
              </a:schemeClr>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resultatvisninger'!$U$182:$V$182</c:f>
              <c:numCache>
                <c:formatCode>0.0%</c:formatCode>
                <c:ptCount val="2"/>
                <c:pt idx="0">
                  <c:v>1.4166666666666668E-2</c:v>
                </c:pt>
                <c:pt idx="1">
                  <c:v>0</c:v>
                </c:pt>
              </c:numCache>
            </c:numRef>
          </c:val>
          <c:extLst>
            <c:ext xmlns:c16="http://schemas.microsoft.com/office/drawing/2014/chart" uri="{C3380CC4-5D6E-409C-BE32-E72D297353CC}">
              <c16:uniqueId val="{00000031-8BB1-403B-BEF7-B9055D6DD965}"/>
            </c:ext>
          </c:extLst>
        </c:ser>
        <c:ser>
          <c:idx val="8"/>
          <c:order val="8"/>
          <c:tx>
            <c:strRef>
              <c:f>'Ekstra resultatvisninger'!$R$147</c:f>
              <c:strCache>
                <c:ptCount val="1"/>
                <c:pt idx="0">
                  <c:v>Idriftsættelse</c:v>
                </c:pt>
              </c:strCache>
            </c:strRef>
          </c:tx>
          <c:spPr>
            <a:solidFill>
              <a:schemeClr val="accent3">
                <a:lumMod val="60000"/>
              </a:schemeClr>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resultatvisninger'!$U$147:$V$147</c:f>
              <c:numCache>
                <c:formatCode>0.0%</c:formatCode>
                <c:ptCount val="2"/>
                <c:pt idx="0">
                  <c:v>3.4615384615384617E-2</c:v>
                </c:pt>
                <c:pt idx="1">
                  <c:v>0</c:v>
                </c:pt>
              </c:numCache>
            </c:numRef>
          </c:val>
          <c:extLst>
            <c:ext xmlns:c16="http://schemas.microsoft.com/office/drawing/2014/chart" uri="{C3380CC4-5D6E-409C-BE32-E72D297353CC}">
              <c16:uniqueId val="{00000032-8BB1-403B-BEF7-B9055D6DD965}"/>
            </c:ext>
          </c:extLst>
        </c:ser>
        <c:dLbls>
          <c:showLegendKey val="0"/>
          <c:showVal val="0"/>
          <c:showCatName val="0"/>
          <c:showSerName val="0"/>
          <c:showPercent val="0"/>
          <c:showBubbleSize val="0"/>
        </c:dLbls>
        <c:gapWidth val="55"/>
        <c:overlap val="100"/>
        <c:axId val="818180304"/>
        <c:axId val="818180864"/>
        <c:extLst/>
      </c:barChart>
      <c:catAx>
        <c:axId val="81818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180864"/>
        <c:crosses val="autoZero"/>
        <c:auto val="1"/>
        <c:lblAlgn val="ctr"/>
        <c:lblOffset val="100"/>
        <c:noMultiLvlLbl val="0"/>
      </c:catAx>
      <c:valAx>
        <c:axId val="8181808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180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Miljø</a:t>
            </a:r>
            <a:r>
              <a:rPr lang="da-DK" baseline="0"/>
              <a:t> ift. egenvægtning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resultatvisninger'!$R$5</c:f>
              <c:strCache>
                <c:ptCount val="1"/>
                <c:pt idx="0">
                  <c:v>Materialer</c:v>
                </c:pt>
              </c:strCache>
            </c:strRef>
          </c:tx>
          <c:spPr>
            <a:solidFill>
              <a:schemeClr val="accent1"/>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resultatvisninger'!$W$5:$X$5</c:f>
              <c:numCache>
                <c:formatCode>0.0%</c:formatCode>
                <c:ptCount val="2"/>
                <c:pt idx="0">
                  <c:v>0</c:v>
                </c:pt>
                <c:pt idx="1">
                  <c:v>0</c:v>
                </c:pt>
              </c:numCache>
            </c:numRef>
          </c:val>
          <c:extLst>
            <c:ext xmlns:c16="http://schemas.microsoft.com/office/drawing/2014/chart" uri="{C3380CC4-5D6E-409C-BE32-E72D297353CC}">
              <c16:uniqueId val="{0000001A-E519-4FA5-A88F-93EA8714D138}"/>
            </c:ext>
          </c:extLst>
        </c:ser>
        <c:ser>
          <c:idx val="1"/>
          <c:order val="1"/>
          <c:tx>
            <c:strRef>
              <c:f>'Ekstra resultatvisninger'!$R$10</c:f>
              <c:strCache>
                <c:ptCount val="1"/>
                <c:pt idx="0">
                  <c:v>Energi</c:v>
                </c:pt>
              </c:strCache>
            </c:strRef>
          </c:tx>
          <c:spPr>
            <a:solidFill>
              <a:schemeClr val="accent2"/>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resultatvisninger'!$W$10:$X$10</c:f>
              <c:numCache>
                <c:formatCode>0.0%</c:formatCode>
                <c:ptCount val="2"/>
                <c:pt idx="0">
                  <c:v>0</c:v>
                </c:pt>
                <c:pt idx="1">
                  <c:v>0</c:v>
                </c:pt>
              </c:numCache>
            </c:numRef>
          </c:val>
          <c:extLst>
            <c:ext xmlns:c16="http://schemas.microsoft.com/office/drawing/2014/chart" uri="{C3380CC4-5D6E-409C-BE32-E72D297353CC}">
              <c16:uniqueId val="{0000001B-E519-4FA5-A88F-93EA8714D138}"/>
            </c:ext>
          </c:extLst>
        </c:ser>
        <c:ser>
          <c:idx val="2"/>
          <c:order val="2"/>
          <c:tx>
            <c:strRef>
              <c:f>'Ekstra resultatvisninger'!$R$14</c:f>
              <c:strCache>
                <c:ptCount val="1"/>
                <c:pt idx="0">
                  <c:v>Vand</c:v>
                </c:pt>
              </c:strCache>
            </c:strRef>
          </c:tx>
          <c:spPr>
            <a:solidFill>
              <a:schemeClr val="accent3"/>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resultatvisninger'!$W$14:$X$14</c:f>
              <c:numCache>
                <c:formatCode>0.0%</c:formatCode>
                <c:ptCount val="2"/>
                <c:pt idx="0">
                  <c:v>0</c:v>
                </c:pt>
                <c:pt idx="1">
                  <c:v>0</c:v>
                </c:pt>
              </c:numCache>
            </c:numRef>
          </c:val>
          <c:extLst>
            <c:ext xmlns:c16="http://schemas.microsoft.com/office/drawing/2014/chart" uri="{C3380CC4-5D6E-409C-BE32-E72D297353CC}">
              <c16:uniqueId val="{0000001C-E519-4FA5-A88F-93EA8714D138}"/>
            </c:ext>
          </c:extLst>
        </c:ser>
        <c:ser>
          <c:idx val="3"/>
          <c:order val="3"/>
          <c:tx>
            <c:strRef>
              <c:f>'Ekstra resultatvisninger'!$R$19</c:f>
              <c:strCache>
                <c:ptCount val="1"/>
                <c:pt idx="0">
                  <c:v>Beplantning</c:v>
                </c:pt>
              </c:strCache>
            </c:strRef>
          </c:tx>
          <c:spPr>
            <a:solidFill>
              <a:schemeClr val="accent4"/>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resultatvisninger'!$W$19:$X$19</c:f>
              <c:numCache>
                <c:formatCode>0.0%</c:formatCode>
                <c:ptCount val="2"/>
                <c:pt idx="0">
                  <c:v>0</c:v>
                </c:pt>
                <c:pt idx="1">
                  <c:v>0</c:v>
                </c:pt>
              </c:numCache>
            </c:numRef>
          </c:val>
          <c:extLst>
            <c:ext xmlns:c16="http://schemas.microsoft.com/office/drawing/2014/chart" uri="{C3380CC4-5D6E-409C-BE32-E72D297353CC}">
              <c16:uniqueId val="{0000001D-E519-4FA5-A88F-93EA8714D138}"/>
            </c:ext>
          </c:extLst>
        </c:ser>
        <c:ser>
          <c:idx val="4"/>
          <c:order val="4"/>
          <c:tx>
            <c:strRef>
              <c:f>'Ekstra resultatvisninger'!$R$22</c:f>
              <c:strCache>
                <c:ptCount val="1"/>
                <c:pt idx="0">
                  <c:v>Bebyggelsestæthed</c:v>
                </c:pt>
              </c:strCache>
            </c:strRef>
          </c:tx>
          <c:spPr>
            <a:solidFill>
              <a:schemeClr val="accent5"/>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resultatvisninger'!$W$22:$X$22</c:f>
              <c:numCache>
                <c:formatCode>0.0%</c:formatCode>
                <c:ptCount val="2"/>
                <c:pt idx="0">
                  <c:v>0</c:v>
                </c:pt>
                <c:pt idx="1">
                  <c:v>0</c:v>
                </c:pt>
              </c:numCache>
            </c:numRef>
          </c:val>
          <c:extLst>
            <c:ext xmlns:c16="http://schemas.microsoft.com/office/drawing/2014/chart" uri="{C3380CC4-5D6E-409C-BE32-E72D297353CC}">
              <c16:uniqueId val="{0000001E-E519-4FA5-A88F-93EA8714D138}"/>
            </c:ext>
          </c:extLst>
        </c:ser>
        <c:ser>
          <c:idx val="5"/>
          <c:order val="5"/>
          <c:tx>
            <c:strRef>
              <c:f>'Ekstra resultatvisninger'!$R$25</c:f>
              <c:strCache>
                <c:ptCount val="1"/>
                <c:pt idx="0">
                  <c:v>Forurening</c:v>
                </c:pt>
              </c:strCache>
            </c:strRef>
          </c:tx>
          <c:spPr>
            <a:solidFill>
              <a:schemeClr val="accent6"/>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resultatvisninger'!$W$25:$X$25</c:f>
              <c:numCache>
                <c:formatCode>0.0%</c:formatCode>
                <c:ptCount val="2"/>
                <c:pt idx="0">
                  <c:v>0</c:v>
                </c:pt>
                <c:pt idx="1">
                  <c:v>0</c:v>
                </c:pt>
              </c:numCache>
            </c:numRef>
          </c:val>
          <c:extLst>
            <c:ext xmlns:c16="http://schemas.microsoft.com/office/drawing/2014/chart" uri="{C3380CC4-5D6E-409C-BE32-E72D297353CC}">
              <c16:uniqueId val="{0000001F-E519-4FA5-A88F-93EA8714D138}"/>
            </c:ext>
          </c:extLst>
        </c:ser>
        <c:dLbls>
          <c:showLegendKey val="0"/>
          <c:showVal val="0"/>
          <c:showCatName val="0"/>
          <c:showSerName val="0"/>
          <c:showPercent val="0"/>
          <c:showBubbleSize val="0"/>
        </c:dLbls>
        <c:gapWidth val="55"/>
        <c:overlap val="100"/>
        <c:axId val="818186464"/>
        <c:axId val="818187024"/>
        <c:extLst/>
      </c:barChart>
      <c:catAx>
        <c:axId val="81818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187024"/>
        <c:crosses val="autoZero"/>
        <c:auto val="1"/>
        <c:lblAlgn val="ctr"/>
        <c:lblOffset val="100"/>
        <c:noMultiLvlLbl val="0"/>
      </c:catAx>
      <c:valAx>
        <c:axId val="8181870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1864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Økonomi</a:t>
            </a:r>
            <a:r>
              <a:rPr lang="da-DK" baseline="0"/>
              <a:t> ift. egenvægtning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resultatvisninger'!$R$30</c:f>
              <c:strCache>
                <c:ptCount val="1"/>
                <c:pt idx="0">
                  <c:v>Levetidsomkostninger</c:v>
                </c:pt>
              </c:strCache>
            </c:strRef>
          </c:tx>
          <c:spPr>
            <a:solidFill>
              <a:schemeClr val="accent1"/>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resultatvisninger'!$W$30:$X$30</c:f>
              <c:numCache>
                <c:formatCode>0.0%</c:formatCode>
                <c:ptCount val="2"/>
                <c:pt idx="0">
                  <c:v>0</c:v>
                </c:pt>
                <c:pt idx="1">
                  <c:v>0</c:v>
                </c:pt>
              </c:numCache>
            </c:numRef>
          </c:val>
          <c:extLst>
            <c:ext xmlns:c16="http://schemas.microsoft.com/office/drawing/2014/chart" uri="{C3380CC4-5D6E-409C-BE32-E72D297353CC}">
              <c16:uniqueId val="{00000011-EA41-49F1-AE53-041E2C78361D}"/>
            </c:ext>
          </c:extLst>
        </c:ser>
        <c:ser>
          <c:idx val="1"/>
          <c:order val="1"/>
          <c:tx>
            <c:strRef>
              <c:f>'Ekstra resultatvisninger'!$R$35</c:f>
              <c:strCache>
                <c:ptCount val="1"/>
                <c:pt idx="0">
                  <c:v>Fleksibilitet</c:v>
                </c:pt>
              </c:strCache>
            </c:strRef>
          </c:tx>
          <c:spPr>
            <a:solidFill>
              <a:schemeClr val="accent2"/>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resultatvisninger'!$W$35:$X$35</c:f>
              <c:numCache>
                <c:formatCode>0.0%</c:formatCode>
                <c:ptCount val="2"/>
                <c:pt idx="0">
                  <c:v>0</c:v>
                </c:pt>
                <c:pt idx="1">
                  <c:v>0</c:v>
                </c:pt>
              </c:numCache>
            </c:numRef>
          </c:val>
          <c:extLst>
            <c:ext xmlns:c16="http://schemas.microsoft.com/office/drawing/2014/chart" uri="{C3380CC4-5D6E-409C-BE32-E72D297353CC}">
              <c16:uniqueId val="{00000012-EA41-49F1-AE53-041E2C78361D}"/>
            </c:ext>
          </c:extLst>
        </c:ser>
        <c:ser>
          <c:idx val="2"/>
          <c:order val="2"/>
          <c:tx>
            <c:strRef>
              <c:f>'Ekstra resultatvisninger'!$R$44</c:f>
              <c:strCache>
                <c:ptCount val="1"/>
                <c:pt idx="0">
                  <c:v>Robusthed</c:v>
                </c:pt>
              </c:strCache>
            </c:strRef>
          </c:tx>
          <c:spPr>
            <a:solidFill>
              <a:schemeClr val="accent3"/>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resultatvisninger'!$W$44:$X$44</c:f>
              <c:numCache>
                <c:formatCode>0.0%</c:formatCode>
                <c:ptCount val="2"/>
                <c:pt idx="0">
                  <c:v>0</c:v>
                </c:pt>
                <c:pt idx="1">
                  <c:v>0</c:v>
                </c:pt>
              </c:numCache>
            </c:numRef>
          </c:val>
          <c:extLst>
            <c:ext xmlns:c16="http://schemas.microsoft.com/office/drawing/2014/chart" uri="{C3380CC4-5D6E-409C-BE32-E72D297353CC}">
              <c16:uniqueId val="{00000013-EA41-49F1-AE53-041E2C78361D}"/>
            </c:ext>
          </c:extLst>
        </c:ser>
        <c:dLbls>
          <c:showLegendKey val="0"/>
          <c:showVal val="0"/>
          <c:showCatName val="0"/>
          <c:showSerName val="0"/>
          <c:showPercent val="0"/>
          <c:showBubbleSize val="0"/>
        </c:dLbls>
        <c:gapWidth val="55"/>
        <c:overlap val="100"/>
        <c:axId val="818539520"/>
        <c:axId val="818540080"/>
        <c:extLst/>
      </c:barChart>
      <c:catAx>
        <c:axId val="81853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540080"/>
        <c:crosses val="autoZero"/>
        <c:auto val="1"/>
        <c:lblAlgn val="ctr"/>
        <c:lblOffset val="100"/>
        <c:noMultiLvlLbl val="0"/>
      </c:catAx>
      <c:valAx>
        <c:axId val="818540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5395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Sociale hensyn</a:t>
            </a:r>
            <a:r>
              <a:rPr lang="da-DK" baseline="0"/>
              <a:t> ift. egenvægtning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resultatvisninger'!$R$49</c:f>
              <c:strCache>
                <c:ptCount val="1"/>
                <c:pt idx="0">
                  <c:v>Beplantning</c:v>
                </c:pt>
              </c:strCache>
            </c:strRef>
          </c:tx>
          <c:spPr>
            <a:solidFill>
              <a:schemeClr val="accent1"/>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resultatvisninger'!$W$49:$X$49</c:f>
              <c:numCache>
                <c:formatCode>0.0%</c:formatCode>
                <c:ptCount val="2"/>
                <c:pt idx="0">
                  <c:v>0</c:v>
                </c:pt>
                <c:pt idx="1">
                  <c:v>0</c:v>
                </c:pt>
              </c:numCache>
            </c:numRef>
          </c:val>
          <c:extLst>
            <c:ext xmlns:c16="http://schemas.microsoft.com/office/drawing/2014/chart" uri="{C3380CC4-5D6E-409C-BE32-E72D297353CC}">
              <c16:uniqueId val="{00000035-5EE4-4B11-87FF-6742710DF355}"/>
            </c:ext>
          </c:extLst>
        </c:ser>
        <c:ser>
          <c:idx val="1"/>
          <c:order val="1"/>
          <c:tx>
            <c:strRef>
              <c:f>'Ekstra resultatvisninger'!$R$55</c:f>
              <c:strCache>
                <c:ptCount val="1"/>
                <c:pt idx="0">
                  <c:v>Robusthed</c:v>
                </c:pt>
              </c:strCache>
            </c:strRef>
          </c:tx>
          <c:spPr>
            <a:solidFill>
              <a:schemeClr val="accent2"/>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resultatvisninger'!$W$55:$X$55</c:f>
              <c:numCache>
                <c:formatCode>0.0%</c:formatCode>
                <c:ptCount val="2"/>
                <c:pt idx="0">
                  <c:v>0</c:v>
                </c:pt>
                <c:pt idx="1">
                  <c:v>0</c:v>
                </c:pt>
              </c:numCache>
            </c:numRef>
          </c:val>
          <c:extLst>
            <c:ext xmlns:c16="http://schemas.microsoft.com/office/drawing/2014/chart" uri="{C3380CC4-5D6E-409C-BE32-E72D297353CC}">
              <c16:uniqueId val="{00000036-5EE4-4B11-87FF-6742710DF355}"/>
            </c:ext>
          </c:extLst>
        </c:ser>
        <c:ser>
          <c:idx val="2"/>
          <c:order val="2"/>
          <c:tx>
            <c:strRef>
              <c:f>'Ekstra resultatvisninger'!$R$58</c:f>
              <c:strCache>
                <c:ptCount val="1"/>
                <c:pt idx="0">
                  <c:v>Indeklima</c:v>
                </c:pt>
              </c:strCache>
            </c:strRef>
          </c:tx>
          <c:spPr>
            <a:solidFill>
              <a:schemeClr val="accent3"/>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resultatvisninger'!$W$58:$X$58</c:f>
              <c:numCache>
                <c:formatCode>0.0%</c:formatCode>
                <c:ptCount val="2"/>
                <c:pt idx="0">
                  <c:v>0</c:v>
                </c:pt>
                <c:pt idx="1">
                  <c:v>0</c:v>
                </c:pt>
              </c:numCache>
            </c:numRef>
          </c:val>
          <c:extLst>
            <c:ext xmlns:c16="http://schemas.microsoft.com/office/drawing/2014/chart" uri="{C3380CC4-5D6E-409C-BE32-E72D297353CC}">
              <c16:uniqueId val="{00000037-5EE4-4B11-87FF-6742710DF355}"/>
            </c:ext>
          </c:extLst>
        </c:ser>
        <c:ser>
          <c:idx val="3"/>
          <c:order val="3"/>
          <c:tx>
            <c:strRef>
              <c:f>'Ekstra resultatvisninger'!$R$69</c:f>
              <c:strCache>
                <c:ptCount val="1"/>
                <c:pt idx="0">
                  <c:v>Brugerstyring</c:v>
                </c:pt>
              </c:strCache>
            </c:strRef>
          </c:tx>
          <c:spPr>
            <a:solidFill>
              <a:schemeClr val="accent4"/>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resultatvisninger'!$W$69:$X$69</c:f>
              <c:numCache>
                <c:formatCode>0.0%</c:formatCode>
                <c:ptCount val="2"/>
                <c:pt idx="0">
                  <c:v>0</c:v>
                </c:pt>
                <c:pt idx="1">
                  <c:v>0</c:v>
                </c:pt>
              </c:numCache>
            </c:numRef>
          </c:val>
          <c:extLst>
            <c:ext xmlns:c16="http://schemas.microsoft.com/office/drawing/2014/chart" uri="{C3380CC4-5D6E-409C-BE32-E72D297353CC}">
              <c16:uniqueId val="{00000038-5EE4-4B11-87FF-6742710DF355}"/>
            </c:ext>
          </c:extLst>
        </c:ser>
        <c:ser>
          <c:idx val="4"/>
          <c:order val="4"/>
          <c:tx>
            <c:strRef>
              <c:f>'Ekstra resultatvisninger'!$R$74</c:f>
              <c:strCache>
                <c:ptCount val="1"/>
                <c:pt idx="0">
                  <c:v>Tilgængelighed</c:v>
                </c:pt>
              </c:strCache>
            </c:strRef>
          </c:tx>
          <c:spPr>
            <a:solidFill>
              <a:schemeClr val="accent5"/>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resultatvisninger'!$W$74:$X$74</c:f>
              <c:numCache>
                <c:formatCode>0.0%</c:formatCode>
                <c:ptCount val="2"/>
                <c:pt idx="0">
                  <c:v>0</c:v>
                </c:pt>
                <c:pt idx="1">
                  <c:v>0</c:v>
                </c:pt>
              </c:numCache>
            </c:numRef>
          </c:val>
          <c:extLst>
            <c:ext xmlns:c16="http://schemas.microsoft.com/office/drawing/2014/chart" uri="{C3380CC4-5D6E-409C-BE32-E72D297353CC}">
              <c16:uniqueId val="{00000039-5EE4-4B11-87FF-6742710DF355}"/>
            </c:ext>
          </c:extLst>
        </c:ser>
        <c:ser>
          <c:idx val="5"/>
          <c:order val="5"/>
          <c:tx>
            <c:strRef>
              <c:f>'Ekstra resultatvisninger'!$R$78</c:f>
              <c:strCache>
                <c:ptCount val="1"/>
                <c:pt idx="0">
                  <c:v>Udearealer</c:v>
                </c:pt>
              </c:strCache>
            </c:strRef>
          </c:tx>
          <c:spPr>
            <a:solidFill>
              <a:schemeClr val="accent6"/>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resultatvisninger'!$W$78:$X$78</c:f>
              <c:numCache>
                <c:formatCode>0.0%</c:formatCode>
                <c:ptCount val="2"/>
                <c:pt idx="0">
                  <c:v>0</c:v>
                </c:pt>
                <c:pt idx="1">
                  <c:v>0</c:v>
                </c:pt>
              </c:numCache>
            </c:numRef>
          </c:val>
          <c:extLst>
            <c:ext xmlns:c16="http://schemas.microsoft.com/office/drawing/2014/chart" uri="{C3380CC4-5D6E-409C-BE32-E72D297353CC}">
              <c16:uniqueId val="{0000003A-5EE4-4B11-87FF-6742710DF355}"/>
            </c:ext>
          </c:extLst>
        </c:ser>
        <c:ser>
          <c:idx val="6"/>
          <c:order val="6"/>
          <c:tx>
            <c:strRef>
              <c:f>'Ekstra resultatvisninger'!$R$82</c:f>
              <c:strCache>
                <c:ptCount val="1"/>
                <c:pt idx="0">
                  <c:v>Cyklister</c:v>
                </c:pt>
              </c:strCache>
            </c:strRef>
          </c:tx>
          <c:spPr>
            <a:solidFill>
              <a:schemeClr val="accent1">
                <a:lumMod val="60000"/>
              </a:schemeClr>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resultatvisninger'!$W$82:$X$82</c:f>
              <c:numCache>
                <c:formatCode>0.0%</c:formatCode>
                <c:ptCount val="2"/>
                <c:pt idx="0">
                  <c:v>0</c:v>
                </c:pt>
                <c:pt idx="1">
                  <c:v>0</c:v>
                </c:pt>
              </c:numCache>
            </c:numRef>
          </c:val>
          <c:extLst>
            <c:ext xmlns:c16="http://schemas.microsoft.com/office/drawing/2014/chart" uri="{C3380CC4-5D6E-409C-BE32-E72D297353CC}">
              <c16:uniqueId val="{0000003B-5EE4-4B11-87FF-6742710DF355}"/>
            </c:ext>
          </c:extLst>
        </c:ser>
        <c:ser>
          <c:idx val="7"/>
          <c:order val="7"/>
          <c:tx>
            <c:strRef>
              <c:f>'Ekstra resultatvisninger'!$R$87</c:f>
              <c:strCache>
                <c:ptCount val="1"/>
                <c:pt idx="0">
                  <c:v>Tryghed og sikkerhed</c:v>
                </c:pt>
              </c:strCache>
            </c:strRef>
          </c:tx>
          <c:spPr>
            <a:solidFill>
              <a:schemeClr val="accent2">
                <a:lumMod val="60000"/>
              </a:schemeClr>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resultatvisninger'!$W$87:$X$87</c:f>
              <c:numCache>
                <c:formatCode>0.0%</c:formatCode>
                <c:ptCount val="2"/>
                <c:pt idx="0">
                  <c:v>0</c:v>
                </c:pt>
                <c:pt idx="1">
                  <c:v>0</c:v>
                </c:pt>
              </c:numCache>
            </c:numRef>
          </c:val>
          <c:extLst>
            <c:ext xmlns:c16="http://schemas.microsoft.com/office/drawing/2014/chart" uri="{C3380CC4-5D6E-409C-BE32-E72D297353CC}">
              <c16:uniqueId val="{0000003C-5EE4-4B11-87FF-6742710DF355}"/>
            </c:ext>
          </c:extLst>
        </c:ser>
        <c:ser>
          <c:idx val="8"/>
          <c:order val="8"/>
          <c:tx>
            <c:strRef>
              <c:f>'Ekstra resultatvisninger'!$R$91</c:f>
              <c:strCache>
                <c:ptCount val="1"/>
                <c:pt idx="0">
                  <c:v>Arkitektonisk kvalitet</c:v>
                </c:pt>
              </c:strCache>
            </c:strRef>
          </c:tx>
          <c:spPr>
            <a:solidFill>
              <a:schemeClr val="accent3">
                <a:lumMod val="60000"/>
              </a:schemeClr>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resultatvisninger'!$W$91:$X$91</c:f>
              <c:numCache>
                <c:formatCode>0.0%</c:formatCode>
                <c:ptCount val="2"/>
                <c:pt idx="0">
                  <c:v>0</c:v>
                </c:pt>
                <c:pt idx="1">
                  <c:v>0</c:v>
                </c:pt>
              </c:numCache>
            </c:numRef>
          </c:val>
          <c:extLst>
            <c:ext xmlns:c16="http://schemas.microsoft.com/office/drawing/2014/chart" uri="{C3380CC4-5D6E-409C-BE32-E72D297353CC}">
              <c16:uniqueId val="{0000003D-5EE4-4B11-87FF-6742710DF355}"/>
            </c:ext>
          </c:extLst>
        </c:ser>
        <c:ser>
          <c:idx val="9"/>
          <c:order val="9"/>
          <c:tx>
            <c:strRef>
              <c:f>'Ekstra resultatvisninger'!$R$97</c:f>
              <c:strCache>
                <c:ptCount val="1"/>
                <c:pt idx="0">
                  <c:v>Plandisponering</c:v>
                </c:pt>
              </c:strCache>
            </c:strRef>
          </c:tx>
          <c:spPr>
            <a:solidFill>
              <a:schemeClr val="accent4">
                <a:lumMod val="60000"/>
              </a:schemeClr>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resultatvisninger'!$W$97:$X$97</c:f>
              <c:numCache>
                <c:formatCode>0.0%</c:formatCode>
                <c:ptCount val="2"/>
                <c:pt idx="0">
                  <c:v>0</c:v>
                </c:pt>
                <c:pt idx="1">
                  <c:v>0</c:v>
                </c:pt>
              </c:numCache>
            </c:numRef>
          </c:val>
          <c:extLst>
            <c:ext xmlns:c16="http://schemas.microsoft.com/office/drawing/2014/chart" uri="{C3380CC4-5D6E-409C-BE32-E72D297353CC}">
              <c16:uniqueId val="{0000003E-5EE4-4B11-87FF-6742710DF355}"/>
            </c:ext>
          </c:extLst>
        </c:ser>
        <c:dLbls>
          <c:showLegendKey val="0"/>
          <c:showVal val="0"/>
          <c:showCatName val="0"/>
          <c:showSerName val="0"/>
          <c:showPercent val="0"/>
          <c:showBubbleSize val="0"/>
        </c:dLbls>
        <c:gapWidth val="55"/>
        <c:overlap val="100"/>
        <c:axId val="818777632"/>
        <c:axId val="818778192"/>
        <c:extLst/>
      </c:barChart>
      <c:catAx>
        <c:axId val="81877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778192"/>
        <c:crosses val="autoZero"/>
        <c:auto val="1"/>
        <c:lblAlgn val="ctr"/>
        <c:lblOffset val="100"/>
        <c:noMultiLvlLbl val="0"/>
      </c:catAx>
      <c:valAx>
        <c:axId val="818778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7776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Teknisk kvalitet </a:t>
            </a:r>
            <a:r>
              <a:rPr lang="da-DK" baseline="0"/>
              <a:t>ift. egenvægtning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resultatvisninger'!$R$116</c:f>
              <c:strCache>
                <c:ptCount val="1"/>
                <c:pt idx="0">
                  <c:v>Materialer</c:v>
                </c:pt>
              </c:strCache>
            </c:strRef>
          </c:tx>
          <c:spPr>
            <a:solidFill>
              <a:schemeClr val="accent1"/>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resultatvisninger'!$W$116:$X$116</c:f>
              <c:numCache>
                <c:formatCode>0.0%</c:formatCode>
                <c:ptCount val="2"/>
                <c:pt idx="0">
                  <c:v>0</c:v>
                </c:pt>
                <c:pt idx="1">
                  <c:v>0</c:v>
                </c:pt>
              </c:numCache>
            </c:numRef>
          </c:val>
          <c:extLst>
            <c:ext xmlns:c16="http://schemas.microsoft.com/office/drawing/2014/chart" uri="{C3380CC4-5D6E-409C-BE32-E72D297353CC}">
              <c16:uniqueId val="{0000000E-8E83-4C4D-8FB2-70C30E42B6CB}"/>
            </c:ext>
          </c:extLst>
        </c:ser>
        <c:ser>
          <c:idx val="1"/>
          <c:order val="1"/>
          <c:tx>
            <c:strRef>
              <c:f>'Ekstra resultatvisninger'!$R$119</c:f>
              <c:strCache>
                <c:ptCount val="1"/>
                <c:pt idx="0">
                  <c:v>Fleksibilitet</c:v>
                </c:pt>
              </c:strCache>
            </c:strRef>
          </c:tx>
          <c:spPr>
            <a:solidFill>
              <a:schemeClr val="accent2"/>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resultatvisninger'!$W$119:$X$119</c:f>
              <c:numCache>
                <c:formatCode>0.0%</c:formatCode>
                <c:ptCount val="2"/>
                <c:pt idx="0">
                  <c:v>0</c:v>
                </c:pt>
                <c:pt idx="1">
                  <c:v>0</c:v>
                </c:pt>
              </c:numCache>
            </c:numRef>
          </c:val>
          <c:extLst>
            <c:ext xmlns:c16="http://schemas.microsoft.com/office/drawing/2014/chart" uri="{C3380CC4-5D6E-409C-BE32-E72D297353CC}">
              <c16:uniqueId val="{0000000F-8E83-4C4D-8FB2-70C30E42B6CB}"/>
            </c:ext>
          </c:extLst>
        </c:ser>
        <c:ser>
          <c:idx val="2"/>
          <c:order val="2"/>
          <c:tx>
            <c:strRef>
              <c:f>'Ekstra resultatvisninger'!$R$123</c:f>
              <c:strCache>
                <c:ptCount val="1"/>
                <c:pt idx="0">
                  <c:v>Indeklima</c:v>
                </c:pt>
              </c:strCache>
            </c:strRef>
          </c:tx>
          <c:spPr>
            <a:solidFill>
              <a:schemeClr val="accent3"/>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resultatvisninger'!$W$123:$X$123</c:f>
              <c:numCache>
                <c:formatCode>0.0%</c:formatCode>
                <c:ptCount val="2"/>
                <c:pt idx="0">
                  <c:v>0</c:v>
                </c:pt>
                <c:pt idx="1">
                  <c:v>0</c:v>
                </c:pt>
              </c:numCache>
            </c:numRef>
          </c:val>
          <c:extLst>
            <c:ext xmlns:c16="http://schemas.microsoft.com/office/drawing/2014/chart" uri="{C3380CC4-5D6E-409C-BE32-E72D297353CC}">
              <c16:uniqueId val="{00000010-8E83-4C4D-8FB2-70C30E42B6CB}"/>
            </c:ext>
          </c:extLst>
        </c:ser>
        <c:ser>
          <c:idx val="3"/>
          <c:order val="3"/>
          <c:tx>
            <c:strRef>
              <c:f>'Ekstra resultatvisninger'!$R$126</c:f>
              <c:strCache>
                <c:ptCount val="1"/>
                <c:pt idx="0">
                  <c:v>Personsikkerhed</c:v>
                </c:pt>
              </c:strCache>
            </c:strRef>
          </c:tx>
          <c:spPr>
            <a:solidFill>
              <a:schemeClr val="accent4"/>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resultatvisninger'!$W$126:$X$126</c:f>
              <c:numCache>
                <c:formatCode>0.0%</c:formatCode>
                <c:ptCount val="2"/>
                <c:pt idx="0">
                  <c:v>0</c:v>
                </c:pt>
                <c:pt idx="1">
                  <c:v>0</c:v>
                </c:pt>
              </c:numCache>
            </c:numRef>
          </c:val>
          <c:extLst>
            <c:ext xmlns:c16="http://schemas.microsoft.com/office/drawing/2014/chart" uri="{C3380CC4-5D6E-409C-BE32-E72D297353CC}">
              <c16:uniqueId val="{00000011-8E83-4C4D-8FB2-70C30E42B6CB}"/>
            </c:ext>
          </c:extLst>
        </c:ser>
        <c:ser>
          <c:idx val="4"/>
          <c:order val="4"/>
          <c:tx>
            <c:strRef>
              <c:f>'Ekstra resultatvisninger'!$R$130</c:f>
              <c:strCache>
                <c:ptCount val="1"/>
                <c:pt idx="0">
                  <c:v>Klimaskærmens kvalitet</c:v>
                </c:pt>
              </c:strCache>
            </c:strRef>
          </c:tx>
          <c:spPr>
            <a:solidFill>
              <a:schemeClr val="accent5"/>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resultatvisninger'!$W$130:$X$130</c:f>
              <c:numCache>
                <c:formatCode>0.0%</c:formatCode>
                <c:ptCount val="2"/>
                <c:pt idx="0">
                  <c:v>0</c:v>
                </c:pt>
                <c:pt idx="1">
                  <c:v>0</c:v>
                </c:pt>
              </c:numCache>
            </c:numRef>
          </c:val>
          <c:extLst>
            <c:ext xmlns:c16="http://schemas.microsoft.com/office/drawing/2014/chart" uri="{C3380CC4-5D6E-409C-BE32-E72D297353CC}">
              <c16:uniqueId val="{00000012-8E83-4C4D-8FB2-70C30E42B6CB}"/>
            </c:ext>
          </c:extLst>
        </c:ser>
        <c:ser>
          <c:idx val="5"/>
          <c:order val="5"/>
          <c:tx>
            <c:strRef>
              <c:f>'Ekstra resultatvisninger'!$R$139</c:f>
              <c:strCache>
                <c:ptCount val="1"/>
                <c:pt idx="0">
                  <c:v>Renhold og vedligehold</c:v>
                </c:pt>
              </c:strCache>
            </c:strRef>
          </c:tx>
          <c:spPr>
            <a:solidFill>
              <a:schemeClr val="accent6"/>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resultatvisninger'!$W$139:$X$139</c:f>
              <c:numCache>
                <c:formatCode>0.0%</c:formatCode>
                <c:ptCount val="2"/>
                <c:pt idx="0">
                  <c:v>0</c:v>
                </c:pt>
                <c:pt idx="1">
                  <c:v>0</c:v>
                </c:pt>
              </c:numCache>
            </c:numRef>
          </c:val>
          <c:extLst>
            <c:ext xmlns:c16="http://schemas.microsoft.com/office/drawing/2014/chart" uri="{C3380CC4-5D6E-409C-BE32-E72D297353CC}">
              <c16:uniqueId val="{00000013-8E83-4C4D-8FB2-70C30E42B6CB}"/>
            </c:ext>
          </c:extLst>
        </c:ser>
        <c:dLbls>
          <c:showLegendKey val="0"/>
          <c:showVal val="0"/>
          <c:showCatName val="0"/>
          <c:showSerName val="0"/>
          <c:showPercent val="0"/>
          <c:showBubbleSize val="0"/>
        </c:dLbls>
        <c:gapWidth val="55"/>
        <c:overlap val="100"/>
        <c:axId val="818947984"/>
        <c:axId val="818948544"/>
        <c:extLst/>
      </c:barChart>
      <c:catAx>
        <c:axId val="81894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948544"/>
        <c:crosses val="autoZero"/>
        <c:auto val="1"/>
        <c:lblAlgn val="ctr"/>
        <c:lblOffset val="100"/>
        <c:noMultiLvlLbl val="0"/>
      </c:catAx>
      <c:valAx>
        <c:axId val="8189485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9479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Proces </a:t>
            </a:r>
            <a:r>
              <a:rPr lang="da-DK" baseline="0"/>
              <a:t>ift. egenvægtning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resultatvisninger'!$R$150</c:f>
              <c:strCache>
                <c:ptCount val="1"/>
                <c:pt idx="0">
                  <c:v>Tryghed og sikkerhed</c:v>
                </c:pt>
              </c:strCache>
            </c:strRef>
          </c:tx>
          <c:spPr>
            <a:solidFill>
              <a:schemeClr val="accent1"/>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resultatvisninger'!$W$150:$X$150</c:f>
              <c:numCache>
                <c:formatCode>0.0%</c:formatCode>
                <c:ptCount val="2"/>
                <c:pt idx="0">
                  <c:v>0</c:v>
                </c:pt>
                <c:pt idx="1">
                  <c:v>0</c:v>
                </c:pt>
              </c:numCache>
            </c:numRef>
          </c:val>
          <c:extLst>
            <c:ext xmlns:c16="http://schemas.microsoft.com/office/drawing/2014/chart" uri="{C3380CC4-5D6E-409C-BE32-E72D297353CC}">
              <c16:uniqueId val="{0000002A-A066-4402-883F-4EBBA43E0227}"/>
            </c:ext>
          </c:extLst>
        </c:ser>
        <c:ser>
          <c:idx val="1"/>
          <c:order val="1"/>
          <c:tx>
            <c:strRef>
              <c:f>'Ekstra resultatvisninger'!$R$153</c:f>
              <c:strCache>
                <c:ptCount val="1"/>
                <c:pt idx="0">
                  <c:v>Byggeprogram</c:v>
                </c:pt>
              </c:strCache>
            </c:strRef>
          </c:tx>
          <c:spPr>
            <a:solidFill>
              <a:schemeClr val="accent2"/>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resultatvisninger'!$W$153:$X$153</c:f>
              <c:numCache>
                <c:formatCode>0.0%</c:formatCode>
                <c:ptCount val="2"/>
                <c:pt idx="0">
                  <c:v>0</c:v>
                </c:pt>
                <c:pt idx="1">
                  <c:v>0</c:v>
                </c:pt>
              </c:numCache>
            </c:numRef>
          </c:val>
          <c:extLst>
            <c:ext xmlns:c16="http://schemas.microsoft.com/office/drawing/2014/chart" uri="{C3380CC4-5D6E-409C-BE32-E72D297353CC}">
              <c16:uniqueId val="{0000002B-A066-4402-883F-4EBBA43E0227}"/>
            </c:ext>
          </c:extLst>
        </c:ser>
        <c:ser>
          <c:idx val="2"/>
          <c:order val="2"/>
          <c:tx>
            <c:strRef>
              <c:f>'Ekstra resultatvisninger'!$R$156</c:f>
              <c:strCache>
                <c:ptCount val="1"/>
                <c:pt idx="0">
                  <c:v>Integreret designproces</c:v>
                </c:pt>
              </c:strCache>
            </c:strRef>
          </c:tx>
          <c:spPr>
            <a:solidFill>
              <a:schemeClr val="accent3"/>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resultatvisninger'!$W$156:$X$156</c:f>
              <c:numCache>
                <c:formatCode>0.0%</c:formatCode>
                <c:ptCount val="2"/>
                <c:pt idx="0">
                  <c:v>0</c:v>
                </c:pt>
                <c:pt idx="1">
                  <c:v>0</c:v>
                </c:pt>
              </c:numCache>
            </c:numRef>
          </c:val>
          <c:extLst>
            <c:ext xmlns:c16="http://schemas.microsoft.com/office/drawing/2014/chart" uri="{C3380CC4-5D6E-409C-BE32-E72D297353CC}">
              <c16:uniqueId val="{0000002C-A066-4402-883F-4EBBA43E0227}"/>
            </c:ext>
          </c:extLst>
        </c:ser>
        <c:ser>
          <c:idx val="3"/>
          <c:order val="3"/>
          <c:tx>
            <c:strRef>
              <c:f>'Ekstra resultatvisninger'!$R$163</c:f>
              <c:strCache>
                <c:ptCount val="1"/>
                <c:pt idx="0">
                  <c:v>Koncepter</c:v>
                </c:pt>
              </c:strCache>
            </c:strRef>
          </c:tx>
          <c:spPr>
            <a:solidFill>
              <a:schemeClr val="accent4"/>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resultatvisninger'!$W$163:$X$163</c:f>
              <c:numCache>
                <c:formatCode>0.0%</c:formatCode>
                <c:ptCount val="2"/>
                <c:pt idx="0">
                  <c:v>0</c:v>
                </c:pt>
                <c:pt idx="1">
                  <c:v>0</c:v>
                </c:pt>
              </c:numCache>
            </c:numRef>
          </c:val>
          <c:extLst>
            <c:ext xmlns:c16="http://schemas.microsoft.com/office/drawing/2014/chart" uri="{C3380CC4-5D6E-409C-BE32-E72D297353CC}">
              <c16:uniqueId val="{0000002D-A066-4402-883F-4EBBA43E0227}"/>
            </c:ext>
          </c:extLst>
        </c:ser>
        <c:ser>
          <c:idx val="4"/>
          <c:order val="4"/>
          <c:tx>
            <c:strRef>
              <c:f>'Ekstra resultatvisninger'!$R$166</c:f>
              <c:strCache>
                <c:ptCount val="1"/>
                <c:pt idx="0">
                  <c:v>Entrepriseudbud</c:v>
                </c:pt>
              </c:strCache>
            </c:strRef>
          </c:tx>
          <c:spPr>
            <a:solidFill>
              <a:schemeClr val="accent5"/>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resultatvisninger'!$W$166:$X$166</c:f>
              <c:numCache>
                <c:formatCode>0.0%</c:formatCode>
                <c:ptCount val="2"/>
                <c:pt idx="0">
                  <c:v>0</c:v>
                </c:pt>
                <c:pt idx="1">
                  <c:v>0</c:v>
                </c:pt>
              </c:numCache>
            </c:numRef>
          </c:val>
          <c:extLst>
            <c:ext xmlns:c16="http://schemas.microsoft.com/office/drawing/2014/chart" uri="{C3380CC4-5D6E-409C-BE32-E72D297353CC}">
              <c16:uniqueId val="{0000002E-A066-4402-883F-4EBBA43E0227}"/>
            </c:ext>
          </c:extLst>
        </c:ser>
        <c:ser>
          <c:idx val="5"/>
          <c:order val="5"/>
          <c:tx>
            <c:strRef>
              <c:f>'Ekstra resultatvisninger'!$R$169</c:f>
              <c:strCache>
                <c:ptCount val="1"/>
                <c:pt idx="0">
                  <c:v>Kvalitet af aflevering til driftspersonale</c:v>
                </c:pt>
              </c:strCache>
            </c:strRef>
          </c:tx>
          <c:spPr>
            <a:solidFill>
              <a:schemeClr val="accent6"/>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resultatvisninger'!$W$169:$X$169</c:f>
              <c:numCache>
                <c:formatCode>0.0%</c:formatCode>
                <c:ptCount val="2"/>
                <c:pt idx="0">
                  <c:v>0</c:v>
                </c:pt>
                <c:pt idx="1">
                  <c:v>0</c:v>
                </c:pt>
              </c:numCache>
            </c:numRef>
          </c:val>
          <c:extLst>
            <c:ext xmlns:c16="http://schemas.microsoft.com/office/drawing/2014/chart" uri="{C3380CC4-5D6E-409C-BE32-E72D297353CC}">
              <c16:uniqueId val="{0000002F-A066-4402-883F-4EBBA43E0227}"/>
            </c:ext>
          </c:extLst>
        </c:ser>
        <c:ser>
          <c:idx val="6"/>
          <c:order val="6"/>
          <c:tx>
            <c:strRef>
              <c:f>'Ekstra resultatvisninger'!$R$174</c:f>
              <c:strCache>
                <c:ptCount val="1"/>
                <c:pt idx="0">
                  <c:v>Byggeplads</c:v>
                </c:pt>
              </c:strCache>
            </c:strRef>
          </c:tx>
          <c:spPr>
            <a:solidFill>
              <a:schemeClr val="accent1">
                <a:lumMod val="60000"/>
              </a:schemeClr>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resultatvisninger'!$W$174:$X$174</c:f>
              <c:numCache>
                <c:formatCode>0.0%</c:formatCode>
                <c:ptCount val="2"/>
                <c:pt idx="0">
                  <c:v>0</c:v>
                </c:pt>
                <c:pt idx="1">
                  <c:v>0</c:v>
                </c:pt>
              </c:numCache>
            </c:numRef>
          </c:val>
          <c:extLst>
            <c:ext xmlns:c16="http://schemas.microsoft.com/office/drawing/2014/chart" uri="{C3380CC4-5D6E-409C-BE32-E72D297353CC}">
              <c16:uniqueId val="{00000030-A066-4402-883F-4EBBA43E0227}"/>
            </c:ext>
          </c:extLst>
        </c:ser>
        <c:ser>
          <c:idx val="7"/>
          <c:order val="7"/>
          <c:tx>
            <c:strRef>
              <c:f>'Ekstra resultatvisninger'!$R$182</c:f>
              <c:strCache>
                <c:ptCount val="1"/>
                <c:pt idx="0">
                  <c:v>Eftervisende dokumentation</c:v>
                </c:pt>
              </c:strCache>
            </c:strRef>
          </c:tx>
          <c:spPr>
            <a:solidFill>
              <a:schemeClr val="accent2">
                <a:lumMod val="60000"/>
              </a:schemeClr>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resultatvisninger'!$W$182:$X$182</c:f>
              <c:numCache>
                <c:formatCode>0.0%</c:formatCode>
                <c:ptCount val="2"/>
                <c:pt idx="0">
                  <c:v>0</c:v>
                </c:pt>
                <c:pt idx="1">
                  <c:v>0</c:v>
                </c:pt>
              </c:numCache>
            </c:numRef>
          </c:val>
          <c:extLst>
            <c:ext xmlns:c16="http://schemas.microsoft.com/office/drawing/2014/chart" uri="{C3380CC4-5D6E-409C-BE32-E72D297353CC}">
              <c16:uniqueId val="{00000031-A066-4402-883F-4EBBA43E0227}"/>
            </c:ext>
          </c:extLst>
        </c:ser>
        <c:ser>
          <c:idx val="8"/>
          <c:order val="8"/>
          <c:tx>
            <c:strRef>
              <c:f>'Ekstra resultatvisninger'!$R$147</c:f>
              <c:strCache>
                <c:ptCount val="1"/>
                <c:pt idx="0">
                  <c:v>Idriftsættelse</c:v>
                </c:pt>
              </c:strCache>
            </c:strRef>
          </c:tx>
          <c:spPr>
            <a:solidFill>
              <a:schemeClr val="accent3">
                <a:lumMod val="60000"/>
              </a:schemeClr>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resultatvisninger'!$W$147:$X$147</c:f>
              <c:numCache>
                <c:formatCode>0.0%</c:formatCode>
                <c:ptCount val="2"/>
                <c:pt idx="0">
                  <c:v>0</c:v>
                </c:pt>
                <c:pt idx="1">
                  <c:v>0</c:v>
                </c:pt>
              </c:numCache>
            </c:numRef>
          </c:val>
          <c:extLst>
            <c:ext xmlns:c16="http://schemas.microsoft.com/office/drawing/2014/chart" uri="{C3380CC4-5D6E-409C-BE32-E72D297353CC}">
              <c16:uniqueId val="{00000032-A066-4402-883F-4EBBA43E0227}"/>
            </c:ext>
          </c:extLst>
        </c:ser>
        <c:dLbls>
          <c:showLegendKey val="0"/>
          <c:showVal val="0"/>
          <c:showCatName val="0"/>
          <c:showSerName val="0"/>
          <c:showPercent val="0"/>
          <c:showBubbleSize val="0"/>
        </c:dLbls>
        <c:gapWidth val="55"/>
        <c:overlap val="100"/>
        <c:axId val="818955824"/>
        <c:axId val="818956384"/>
        <c:extLst/>
      </c:barChart>
      <c:catAx>
        <c:axId val="81895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956384"/>
        <c:crosses val="autoZero"/>
        <c:auto val="1"/>
        <c:lblAlgn val="ctr"/>
        <c:lblOffset val="100"/>
        <c:noMultiLvlLbl val="0"/>
      </c:catAx>
      <c:valAx>
        <c:axId val="8189563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9558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18" Type="http://schemas.openxmlformats.org/officeDocument/2006/relationships/chart" Target="../charts/chart25.xml"/><Relationship Id="rId3" Type="http://schemas.openxmlformats.org/officeDocument/2006/relationships/chart" Target="../charts/chart10.xml"/><Relationship Id="rId7" Type="http://schemas.openxmlformats.org/officeDocument/2006/relationships/chart" Target="../charts/chart14.xml"/><Relationship Id="rId12" Type="http://schemas.openxmlformats.org/officeDocument/2006/relationships/chart" Target="../charts/chart19.xml"/><Relationship Id="rId17" Type="http://schemas.openxmlformats.org/officeDocument/2006/relationships/chart" Target="../charts/chart24.xml"/><Relationship Id="rId2" Type="http://schemas.openxmlformats.org/officeDocument/2006/relationships/chart" Target="../charts/chart9.xml"/><Relationship Id="rId16" Type="http://schemas.openxmlformats.org/officeDocument/2006/relationships/chart" Target="../charts/chart23.xml"/><Relationship Id="rId20" Type="http://schemas.openxmlformats.org/officeDocument/2006/relationships/chart" Target="../charts/chart27.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chart" Target="../charts/chart22.xml"/><Relationship Id="rId10" Type="http://schemas.openxmlformats.org/officeDocument/2006/relationships/chart" Target="../charts/chart17.xml"/><Relationship Id="rId19" Type="http://schemas.openxmlformats.org/officeDocument/2006/relationships/chart" Target="../charts/chart26.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285751</xdr:colOff>
      <xdr:row>167</xdr:row>
      <xdr:rowOff>79375</xdr:rowOff>
    </xdr:from>
    <xdr:to>
      <xdr:col>1</xdr:col>
      <xdr:colOff>3032125</xdr:colOff>
      <xdr:row>223</xdr:row>
      <xdr:rowOff>127000</xdr:rowOff>
    </xdr:to>
    <xdr:graphicFrame macro="">
      <xdr:nvGraphicFramePr>
        <xdr:cNvPr id="25" name="Diagram 24">
          <a:extLst>
            <a:ext uri="{FF2B5EF4-FFF2-40B4-BE49-F238E27FC236}">
              <a16:creationId xmlns:a16="http://schemas.microsoft.com/office/drawing/2014/main" id="{00000000-0008-0000-10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203200</xdr:colOff>
      <xdr:row>167</xdr:row>
      <xdr:rowOff>79376</xdr:rowOff>
    </xdr:from>
    <xdr:to>
      <xdr:col>9</xdr:col>
      <xdr:colOff>635000</xdr:colOff>
      <xdr:row>223</xdr:row>
      <xdr:rowOff>127001</xdr:rowOff>
    </xdr:to>
    <xdr:graphicFrame macro="">
      <xdr:nvGraphicFramePr>
        <xdr:cNvPr id="26" name="Diagram 25">
          <a:extLst>
            <a:ext uri="{FF2B5EF4-FFF2-40B4-BE49-F238E27FC236}">
              <a16:creationId xmlns:a16="http://schemas.microsoft.com/office/drawing/2014/main" id="{00000000-0008-0000-1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428624</xdr:colOff>
      <xdr:row>281</xdr:row>
      <xdr:rowOff>104773</xdr:rowOff>
    </xdr:from>
    <xdr:to>
      <xdr:col>1</xdr:col>
      <xdr:colOff>2809875</xdr:colOff>
      <xdr:row>311</xdr:row>
      <xdr:rowOff>158750</xdr:rowOff>
    </xdr:to>
    <xdr:graphicFrame macro="">
      <xdr:nvGraphicFramePr>
        <xdr:cNvPr id="31" name="Diagram 30">
          <a:extLst>
            <a:ext uri="{FF2B5EF4-FFF2-40B4-BE49-F238E27FC236}">
              <a16:creationId xmlns:a16="http://schemas.microsoft.com/office/drawing/2014/main" id="{00000000-0008-0000-10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174625</xdr:colOff>
      <xdr:row>19</xdr:row>
      <xdr:rowOff>120649</xdr:rowOff>
    </xdr:from>
    <xdr:to>
      <xdr:col>1</xdr:col>
      <xdr:colOff>3476625</xdr:colOff>
      <xdr:row>83</xdr:row>
      <xdr:rowOff>119062</xdr:rowOff>
    </xdr:to>
    <xdr:graphicFrame macro="">
      <xdr:nvGraphicFramePr>
        <xdr:cNvPr id="2" name="Diagram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182560</xdr:colOff>
      <xdr:row>19</xdr:row>
      <xdr:rowOff>127000</xdr:rowOff>
    </xdr:from>
    <xdr:to>
      <xdr:col>9</xdr:col>
      <xdr:colOff>547685</xdr:colOff>
      <xdr:row>82</xdr:row>
      <xdr:rowOff>83343</xdr:rowOff>
    </xdr:to>
    <xdr:graphicFrame macro="">
      <xdr:nvGraphicFramePr>
        <xdr:cNvPr id="10" name="Diagram 9">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206375</xdr:colOff>
      <xdr:row>236</xdr:row>
      <xdr:rowOff>57150</xdr:rowOff>
    </xdr:from>
    <xdr:to>
      <xdr:col>1</xdr:col>
      <xdr:colOff>2905125</xdr:colOff>
      <xdr:row>268</xdr:row>
      <xdr:rowOff>95250</xdr:rowOff>
    </xdr:to>
    <xdr:graphicFrame macro="">
      <xdr:nvGraphicFramePr>
        <xdr:cNvPr id="3" name="Diagram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285750</xdr:colOff>
      <xdr:row>236</xdr:row>
      <xdr:rowOff>79375</xdr:rowOff>
    </xdr:from>
    <xdr:to>
      <xdr:col>9</xdr:col>
      <xdr:colOff>555625</xdr:colOff>
      <xdr:row>268</xdr:row>
      <xdr:rowOff>117475</xdr:rowOff>
    </xdr:to>
    <xdr:graphicFrame macro="">
      <xdr:nvGraphicFramePr>
        <xdr:cNvPr id="8" name="Diagram 7">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63501</xdr:colOff>
      <xdr:row>19</xdr:row>
      <xdr:rowOff>73823</xdr:rowOff>
    </xdr:from>
    <xdr:to>
      <xdr:col>1</xdr:col>
      <xdr:colOff>2905125</xdr:colOff>
      <xdr:row>42</xdr:row>
      <xdr:rowOff>11906</xdr:rowOff>
    </xdr:to>
    <xdr:graphicFrame macro="">
      <xdr:nvGraphicFramePr>
        <xdr:cNvPr id="9" name="Diagram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250032</xdr:colOff>
      <xdr:row>19</xdr:row>
      <xdr:rowOff>81761</xdr:rowOff>
    </xdr:from>
    <xdr:to>
      <xdr:col>8</xdr:col>
      <xdr:colOff>309562</xdr:colOff>
      <xdr:row>42</xdr:row>
      <xdr:rowOff>35719</xdr:rowOff>
    </xdr:to>
    <xdr:graphicFrame macro="">
      <xdr:nvGraphicFramePr>
        <xdr:cNvPr id="10" name="Diagram 9">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87314</xdr:colOff>
      <xdr:row>45</xdr:row>
      <xdr:rowOff>42070</xdr:rowOff>
    </xdr:from>
    <xdr:to>
      <xdr:col>1</xdr:col>
      <xdr:colOff>2917031</xdr:colOff>
      <xdr:row>65</xdr:row>
      <xdr:rowOff>142874</xdr:rowOff>
    </xdr:to>
    <xdr:graphicFrame macro="">
      <xdr:nvGraphicFramePr>
        <xdr:cNvPr id="11" name="Diagram 10">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269878</xdr:colOff>
      <xdr:row>45</xdr:row>
      <xdr:rowOff>57946</xdr:rowOff>
    </xdr:from>
    <xdr:to>
      <xdr:col>8</xdr:col>
      <xdr:colOff>285750</xdr:colOff>
      <xdr:row>65</xdr:row>
      <xdr:rowOff>142874</xdr:rowOff>
    </xdr:to>
    <xdr:graphicFrame macro="">
      <xdr:nvGraphicFramePr>
        <xdr:cNvPr id="12" name="Diagram 1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120649</xdr:colOff>
      <xdr:row>70</xdr:row>
      <xdr:rowOff>55562</xdr:rowOff>
    </xdr:from>
    <xdr:to>
      <xdr:col>1</xdr:col>
      <xdr:colOff>3000374</xdr:colOff>
      <xdr:row>85</xdr:row>
      <xdr:rowOff>119062</xdr:rowOff>
    </xdr:to>
    <xdr:graphicFrame macro="">
      <xdr:nvGraphicFramePr>
        <xdr:cNvPr id="13" name="Diagram 12">
          <a:extLst>
            <a:ext uri="{FF2B5EF4-FFF2-40B4-BE49-F238E27FC236}">
              <a16:creationId xmlns:a16="http://schemas.microsoft.com/office/drawing/2014/main" id="{00000000-0008-0000-1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259558</xdr:colOff>
      <xdr:row>70</xdr:row>
      <xdr:rowOff>39690</xdr:rowOff>
    </xdr:from>
    <xdr:to>
      <xdr:col>8</xdr:col>
      <xdr:colOff>250031</xdr:colOff>
      <xdr:row>85</xdr:row>
      <xdr:rowOff>130968</xdr:rowOff>
    </xdr:to>
    <xdr:graphicFrame macro="">
      <xdr:nvGraphicFramePr>
        <xdr:cNvPr id="14" name="Diagram 13">
          <a:extLst>
            <a:ext uri="{FF2B5EF4-FFF2-40B4-BE49-F238E27FC236}">
              <a16:creationId xmlns:a16="http://schemas.microsoft.com/office/drawing/2014/main" id="{00000000-0008-0000-1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142875</xdr:colOff>
      <xdr:row>89</xdr:row>
      <xdr:rowOff>0</xdr:rowOff>
    </xdr:from>
    <xdr:to>
      <xdr:col>1</xdr:col>
      <xdr:colOff>3036092</xdr:colOff>
      <xdr:row>113</xdr:row>
      <xdr:rowOff>107156</xdr:rowOff>
    </xdr:to>
    <xdr:graphicFrame macro="">
      <xdr:nvGraphicFramePr>
        <xdr:cNvPr id="15" name="Diagram 14">
          <a:extLst>
            <a:ext uri="{FF2B5EF4-FFF2-40B4-BE49-F238E27FC236}">
              <a16:creationId xmlns:a16="http://schemas.microsoft.com/office/drawing/2014/main" id="{00000000-0008-0000-1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273845</xdr:colOff>
      <xdr:row>89</xdr:row>
      <xdr:rowOff>0</xdr:rowOff>
    </xdr:from>
    <xdr:to>
      <xdr:col>8</xdr:col>
      <xdr:colOff>273843</xdr:colOff>
      <xdr:row>113</xdr:row>
      <xdr:rowOff>107156</xdr:rowOff>
    </xdr:to>
    <xdr:graphicFrame macro="">
      <xdr:nvGraphicFramePr>
        <xdr:cNvPr id="16" name="Diagram 15">
          <a:extLst>
            <a:ext uri="{FF2B5EF4-FFF2-40B4-BE49-F238E27FC236}">
              <a16:creationId xmlns:a16="http://schemas.microsoft.com/office/drawing/2014/main" id="{00000000-0008-0000-1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123034</xdr:colOff>
      <xdr:row>118</xdr:row>
      <xdr:rowOff>89695</xdr:rowOff>
    </xdr:from>
    <xdr:to>
      <xdr:col>1</xdr:col>
      <xdr:colOff>3024188</xdr:colOff>
      <xdr:row>148</xdr:row>
      <xdr:rowOff>47624</xdr:rowOff>
    </xdr:to>
    <xdr:graphicFrame macro="">
      <xdr:nvGraphicFramePr>
        <xdr:cNvPr id="17" name="Diagram 16">
          <a:extLst>
            <a:ext uri="{FF2B5EF4-FFF2-40B4-BE49-F238E27FC236}">
              <a16:creationId xmlns:a16="http://schemas.microsoft.com/office/drawing/2014/main" id="{00000000-0008-0000-1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277813</xdr:colOff>
      <xdr:row>118</xdr:row>
      <xdr:rowOff>53977</xdr:rowOff>
    </xdr:from>
    <xdr:to>
      <xdr:col>8</xdr:col>
      <xdr:colOff>381000</xdr:colOff>
      <xdr:row>148</xdr:row>
      <xdr:rowOff>47624</xdr:rowOff>
    </xdr:to>
    <xdr:graphicFrame macro="">
      <xdr:nvGraphicFramePr>
        <xdr:cNvPr id="18" name="Diagram 17">
          <a:extLst>
            <a:ext uri="{FF2B5EF4-FFF2-40B4-BE49-F238E27FC236}">
              <a16:creationId xmlns:a16="http://schemas.microsoft.com/office/drawing/2014/main" id="{00000000-0008-0000-1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130968</xdr:colOff>
      <xdr:row>164</xdr:row>
      <xdr:rowOff>0</xdr:rowOff>
    </xdr:from>
    <xdr:to>
      <xdr:col>1</xdr:col>
      <xdr:colOff>2905124</xdr:colOff>
      <xdr:row>186</xdr:row>
      <xdr:rowOff>0</xdr:rowOff>
    </xdr:to>
    <xdr:graphicFrame macro="">
      <xdr:nvGraphicFramePr>
        <xdr:cNvPr id="19" name="Diagram 18">
          <a:extLst>
            <a:ext uri="{FF2B5EF4-FFF2-40B4-BE49-F238E27FC236}">
              <a16:creationId xmlns:a16="http://schemas.microsoft.com/office/drawing/2014/main" id="{00000000-0008-0000-1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226220</xdr:colOff>
      <xdr:row>190</xdr:row>
      <xdr:rowOff>129383</xdr:rowOff>
    </xdr:from>
    <xdr:to>
      <xdr:col>1</xdr:col>
      <xdr:colOff>2230441</xdr:colOff>
      <xdr:row>218</xdr:row>
      <xdr:rowOff>92079</xdr:rowOff>
    </xdr:to>
    <xdr:graphicFrame macro="">
      <xdr:nvGraphicFramePr>
        <xdr:cNvPr id="20" name="Diagram 19">
          <a:extLst>
            <a:ext uri="{FF2B5EF4-FFF2-40B4-BE49-F238E27FC236}">
              <a16:creationId xmlns:a16="http://schemas.microsoft.com/office/drawing/2014/main" id="{00000000-0008-0000-1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226220</xdr:colOff>
      <xdr:row>218</xdr:row>
      <xdr:rowOff>169070</xdr:rowOff>
    </xdr:from>
    <xdr:to>
      <xdr:col>1</xdr:col>
      <xdr:colOff>2230441</xdr:colOff>
      <xdr:row>238</xdr:row>
      <xdr:rowOff>72235</xdr:rowOff>
    </xdr:to>
    <xdr:graphicFrame macro="">
      <xdr:nvGraphicFramePr>
        <xdr:cNvPr id="21" name="Diagram 20">
          <a:extLst>
            <a:ext uri="{FF2B5EF4-FFF2-40B4-BE49-F238E27FC236}">
              <a16:creationId xmlns:a16="http://schemas.microsoft.com/office/drawing/2014/main" id="{00000000-0008-0000-1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257970</xdr:colOff>
      <xdr:row>238</xdr:row>
      <xdr:rowOff>149227</xdr:rowOff>
    </xdr:from>
    <xdr:to>
      <xdr:col>1</xdr:col>
      <xdr:colOff>2262191</xdr:colOff>
      <xdr:row>258</xdr:row>
      <xdr:rowOff>48423</xdr:rowOff>
    </xdr:to>
    <xdr:graphicFrame macro="">
      <xdr:nvGraphicFramePr>
        <xdr:cNvPr id="22" name="Diagram 21">
          <a:extLst>
            <a:ext uri="{FF2B5EF4-FFF2-40B4-BE49-F238E27FC236}">
              <a16:creationId xmlns:a16="http://schemas.microsoft.com/office/drawing/2014/main" id="{00000000-0008-0000-1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273845</xdr:colOff>
      <xdr:row>259</xdr:row>
      <xdr:rowOff>101601</xdr:rowOff>
    </xdr:from>
    <xdr:to>
      <xdr:col>1</xdr:col>
      <xdr:colOff>2278066</xdr:colOff>
      <xdr:row>278</xdr:row>
      <xdr:rowOff>171454</xdr:rowOff>
    </xdr:to>
    <xdr:graphicFrame macro="">
      <xdr:nvGraphicFramePr>
        <xdr:cNvPr id="23" name="Diagram 22">
          <a:extLst>
            <a:ext uri="{FF2B5EF4-FFF2-40B4-BE49-F238E27FC236}">
              <a16:creationId xmlns:a16="http://schemas.microsoft.com/office/drawing/2014/main" id="{00000000-0008-0000-1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202408</xdr:colOff>
      <xdr:row>164</xdr:row>
      <xdr:rowOff>0</xdr:rowOff>
    </xdr:from>
    <xdr:to>
      <xdr:col>8</xdr:col>
      <xdr:colOff>404812</xdr:colOff>
      <xdr:row>185</xdr:row>
      <xdr:rowOff>154781</xdr:rowOff>
    </xdr:to>
    <xdr:graphicFrame macro="">
      <xdr:nvGraphicFramePr>
        <xdr:cNvPr id="24" name="Diagram 23">
          <a:extLst>
            <a:ext uri="{FF2B5EF4-FFF2-40B4-BE49-F238E27FC236}">
              <a16:creationId xmlns:a16="http://schemas.microsoft.com/office/drawing/2014/main" id="{00000000-0008-0000-1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162720</xdr:colOff>
      <xdr:row>190</xdr:row>
      <xdr:rowOff>121444</xdr:rowOff>
    </xdr:from>
    <xdr:to>
      <xdr:col>8</xdr:col>
      <xdr:colOff>381003</xdr:colOff>
      <xdr:row>218</xdr:row>
      <xdr:rowOff>60328</xdr:rowOff>
    </xdr:to>
    <xdr:graphicFrame macro="">
      <xdr:nvGraphicFramePr>
        <xdr:cNvPr id="25" name="Diagram 24">
          <a:extLst>
            <a:ext uri="{FF2B5EF4-FFF2-40B4-BE49-F238E27FC236}">
              <a16:creationId xmlns:a16="http://schemas.microsoft.com/office/drawing/2014/main" id="{00000000-0008-0000-1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178595</xdr:colOff>
      <xdr:row>218</xdr:row>
      <xdr:rowOff>137320</xdr:rowOff>
    </xdr:from>
    <xdr:to>
      <xdr:col>8</xdr:col>
      <xdr:colOff>396878</xdr:colOff>
      <xdr:row>238</xdr:row>
      <xdr:rowOff>32548</xdr:rowOff>
    </xdr:to>
    <xdr:graphicFrame macro="">
      <xdr:nvGraphicFramePr>
        <xdr:cNvPr id="26" name="Diagram 25">
          <a:extLst>
            <a:ext uri="{FF2B5EF4-FFF2-40B4-BE49-F238E27FC236}">
              <a16:creationId xmlns:a16="http://schemas.microsoft.com/office/drawing/2014/main" id="{00000000-0008-0000-1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178595</xdr:colOff>
      <xdr:row>238</xdr:row>
      <xdr:rowOff>93664</xdr:rowOff>
    </xdr:from>
    <xdr:to>
      <xdr:col>8</xdr:col>
      <xdr:colOff>396878</xdr:colOff>
      <xdr:row>257</xdr:row>
      <xdr:rowOff>183360</xdr:rowOff>
    </xdr:to>
    <xdr:graphicFrame macro="">
      <xdr:nvGraphicFramePr>
        <xdr:cNvPr id="27" name="Diagram 26">
          <a:extLst>
            <a:ext uri="{FF2B5EF4-FFF2-40B4-BE49-F238E27FC236}">
              <a16:creationId xmlns:a16="http://schemas.microsoft.com/office/drawing/2014/main" id="{00000000-0008-0000-1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178595</xdr:colOff>
      <xdr:row>258</xdr:row>
      <xdr:rowOff>157164</xdr:rowOff>
    </xdr:from>
    <xdr:to>
      <xdr:col>8</xdr:col>
      <xdr:colOff>396878</xdr:colOff>
      <xdr:row>278</xdr:row>
      <xdr:rowOff>36517</xdr:rowOff>
    </xdr:to>
    <xdr:graphicFrame macro="">
      <xdr:nvGraphicFramePr>
        <xdr:cNvPr id="28" name="Diagram 27">
          <a:extLst>
            <a:ext uri="{FF2B5EF4-FFF2-40B4-BE49-F238E27FC236}">
              <a16:creationId xmlns:a16="http://schemas.microsoft.com/office/drawing/2014/main" id="{00000000-0008-0000-1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152400</xdr:colOff>
      <xdr:row>0</xdr:row>
      <xdr:rowOff>31376</xdr:rowOff>
    </xdr:from>
    <xdr:to>
      <xdr:col>25</xdr:col>
      <xdr:colOff>13518</xdr:colOff>
      <xdr:row>3</xdr:row>
      <xdr:rowOff>125506</xdr:rowOff>
    </xdr:to>
    <xdr:pic>
      <xdr:nvPicPr>
        <xdr:cNvPr id="2" name="Grafik 2" descr="DGNB_WaveQuad_Colour_211209.jpg">
          <a:extLst>
            <a:ext uri="{FF2B5EF4-FFF2-40B4-BE49-F238E27FC236}">
              <a16:creationId xmlns:a16="http://schemas.microsoft.com/office/drawing/2014/main" id="{0C4C7785-DEDD-4564-875D-D8D22DE5FD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415" t="3976" r="16109" b="9091"/>
        <a:stretch>
          <a:fillRect/>
        </a:stretch>
      </xdr:blipFill>
      <xdr:spPr bwMode="auto">
        <a:xfrm>
          <a:off x="12411075" y="31376"/>
          <a:ext cx="956493" cy="684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2" displayName="Tabel2" ref="A4:K174" totalsRowShown="0" headerRowDxfId="131" dataDxfId="129" headerRowBorderDxfId="130" tableBorderDxfId="128">
  <autoFilter ref="A4:K174" xr:uid="{00000000-0009-0000-0100-000002000000}"/>
  <tableColumns count="11">
    <tableColumn id="1" xr3:uid="{00000000-0010-0000-0000-000001000000}" name="Tema" dataDxfId="127"/>
    <tableColumn id="2" xr3:uid="{00000000-0010-0000-0000-000002000000}" name="ID" dataDxfId="126"/>
    <tableColumn id="3" xr3:uid="{00000000-0010-0000-0000-000003000000}" name="Emne" dataDxfId="125"/>
    <tableColumn id="4" xr3:uid="{00000000-0010-0000-0000-000004000000}" name="0" dataDxfId="124"/>
    <tableColumn id="5" xr3:uid="{00000000-0010-0000-0000-000005000000}" name="02" dataDxfId="123"/>
    <tableColumn id="6" xr3:uid="{00000000-0010-0000-0000-000006000000}" name="03" dataDxfId="122"/>
    <tableColumn id="7" xr3:uid="{00000000-0010-0000-0000-000007000000}" name="#REFERENCE!" dataDxfId="121"/>
    <tableColumn id="8" xr3:uid="{00000000-0010-0000-0000-000008000000}" name="04" dataDxfId="120"/>
    <tableColumn id="10" xr3:uid="{00000000-0010-0000-0000-00000A000000}" name="Spørgsmål" dataDxfId="119"/>
    <tableColumn id="11" xr3:uid="{00000000-0010-0000-0000-00000B000000}" name="Svar" dataDxfId="118"/>
    <tableColumn id="12" xr3:uid="{00000000-0010-0000-0000-00000C000000}" name="Uddybende kommentarer" dataDxfId="11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3" displayName="Tabel3" ref="A4:K173" totalsRowShown="0" headerRowDxfId="116" dataDxfId="114" headerRowBorderDxfId="115" tableBorderDxfId="113">
  <tableColumns count="11">
    <tableColumn id="1" xr3:uid="{00000000-0010-0000-0100-000001000000}" name="Tema" dataDxfId="112"/>
    <tableColumn id="2" xr3:uid="{00000000-0010-0000-0100-000002000000}" name="ID" dataDxfId="111">
      <calculatedColumnFormula>Arbejdsark!$B$4</calculatedColumnFormula>
    </tableColumn>
    <tableColumn id="3" xr3:uid="{00000000-0010-0000-0100-000003000000}" name="Emne" dataDxfId="110"/>
    <tableColumn id="4" xr3:uid="{00000000-0010-0000-0100-000004000000}" name="DGNB kriterium" dataDxfId="109"/>
    <tableColumn id="5" xr3:uid="{00000000-0010-0000-0100-000005000000}" name="Byggeudvalg eller Hovedbestyrelse" dataDxfId="108"/>
    <tableColumn id="6" xr3:uid="{00000000-0010-0000-0100-000006000000}" name="Projektleder" dataDxfId="107"/>
    <tableColumn id="7" xr3:uid="{00000000-0010-0000-0100-000007000000}" name="#REFERENCE!" dataDxfId="106"/>
    <tableColumn id="8" xr3:uid="{00000000-0010-0000-0100-000008000000}" name="Ikon" dataDxfId="105"/>
    <tableColumn id="10" xr3:uid="{00000000-0010-0000-0100-00000A000000}" name="Spørgsmål" dataDxfId="104"/>
    <tableColumn id="11" xr3:uid="{00000000-0010-0000-0100-00000B000000}" name="Svar" dataDxfId="103"/>
    <tableColumn id="12" xr3:uid="{00000000-0010-0000-0100-00000C000000}" name="Uddybende kommentarer" dataDxfId="102"/>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4" displayName="Tabel4" ref="A4:K173" totalsRowShown="0" headerRowDxfId="101" dataDxfId="99" headerRowBorderDxfId="100" tableBorderDxfId="98">
  <autoFilter ref="A4:K173" xr:uid="{00000000-0009-0000-0100-000004000000}"/>
  <tableColumns count="11">
    <tableColumn id="1" xr3:uid="{00000000-0010-0000-0200-000001000000}" name="Tema" dataDxfId="97"/>
    <tableColumn id="2" xr3:uid="{00000000-0010-0000-0200-000002000000}" name="ID" dataDxfId="96">
      <calculatedColumnFormula>B3</calculatedColumnFormula>
    </tableColumn>
    <tableColumn id="3" xr3:uid="{00000000-0010-0000-0200-000003000000}" name="Emne" dataDxfId="95"/>
    <tableColumn id="4" xr3:uid="{00000000-0010-0000-0200-000004000000}" name="DGNB kriterium" dataDxfId="94"/>
    <tableColumn id="5" xr3:uid="{00000000-0010-0000-0200-000005000000}" name="Byggeudvalg eller Hovedbestyrelse" dataDxfId="93"/>
    <tableColumn id="6" xr3:uid="{00000000-0010-0000-0200-000006000000}" name="Projektleder" dataDxfId="92"/>
    <tableColumn id="7" xr3:uid="{00000000-0010-0000-0200-000007000000}" name="#REFERENCE!" dataDxfId="91"/>
    <tableColumn id="8" xr3:uid="{00000000-0010-0000-0200-000008000000}" name="Ikon" dataDxfId="90"/>
    <tableColumn id="10" xr3:uid="{00000000-0010-0000-0200-00000A000000}" name="Spørgsmål" dataDxfId="89"/>
    <tableColumn id="11" xr3:uid="{00000000-0010-0000-0200-00000B000000}" name="Svar" dataDxfId="88"/>
    <tableColumn id="12" xr3:uid="{00000000-0010-0000-0200-00000C000000}" name="Uddybende kommentarer" dataDxfId="87"/>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el427" displayName="Tabel427" ref="A4:K173" totalsRowShown="0" headerRowDxfId="86" dataDxfId="84" headerRowBorderDxfId="85" tableBorderDxfId="83">
  <autoFilter ref="A4:K173" xr:uid="{00000000-0009-0000-0100-000006000000}"/>
  <tableColumns count="11">
    <tableColumn id="1" xr3:uid="{00000000-0010-0000-0300-000001000000}" name="Tema" dataDxfId="82"/>
    <tableColumn id="2" xr3:uid="{00000000-0010-0000-0300-000002000000}" name="ID" dataDxfId="81">
      <calculatedColumnFormula>B3</calculatedColumnFormula>
    </tableColumn>
    <tableColumn id="3" xr3:uid="{00000000-0010-0000-0300-000003000000}" name="Emne" dataDxfId="80"/>
    <tableColumn id="4" xr3:uid="{00000000-0010-0000-0300-000004000000}" name="DGNB kriterium" dataDxfId="79"/>
    <tableColumn id="5" xr3:uid="{00000000-0010-0000-0300-000005000000}" name="Byggeudvalg eller Hovedbestyrelse" dataDxfId="78"/>
    <tableColumn id="6" xr3:uid="{00000000-0010-0000-0300-000006000000}" name="Projektleder" dataDxfId="77"/>
    <tableColumn id="7" xr3:uid="{00000000-0010-0000-0300-000007000000}" name="#REFERENCE!" dataDxfId="76"/>
    <tableColumn id="8" xr3:uid="{00000000-0010-0000-0300-000008000000}" name="Ikon" dataDxfId="75"/>
    <tableColumn id="10" xr3:uid="{00000000-0010-0000-0300-00000A000000}" name="Spørgsmål" dataDxfId="74"/>
    <tableColumn id="11" xr3:uid="{00000000-0010-0000-0300-00000B000000}" name="Svar" dataDxfId="73"/>
    <tableColumn id="12" xr3:uid="{00000000-0010-0000-0300-00000C000000}" name="Uddybende kommentarer" dataDxfId="72"/>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el429" displayName="Tabel429" ref="A4:K173" totalsRowShown="0" headerRowDxfId="71" dataDxfId="69" headerRowBorderDxfId="70" tableBorderDxfId="68">
  <autoFilter ref="A4:K173" xr:uid="{00000000-0009-0000-0100-000008000000}"/>
  <tableColumns count="11">
    <tableColumn id="1" xr3:uid="{00000000-0010-0000-0400-000001000000}" name="Tema" dataDxfId="67"/>
    <tableColumn id="2" xr3:uid="{00000000-0010-0000-0400-000002000000}" name="ID" dataDxfId="66">
      <calculatedColumnFormula>B3</calculatedColumnFormula>
    </tableColumn>
    <tableColumn id="3" xr3:uid="{00000000-0010-0000-0400-000003000000}" name="Emne" dataDxfId="65"/>
    <tableColumn id="4" xr3:uid="{00000000-0010-0000-0400-000004000000}" name="DGNB kriterium" dataDxfId="64"/>
    <tableColumn id="5" xr3:uid="{00000000-0010-0000-0400-000005000000}" name="Byggeudvalg eller Hovedbestyrelse" dataDxfId="63"/>
    <tableColumn id="6" xr3:uid="{00000000-0010-0000-0400-000006000000}" name="Projektleder" dataDxfId="62"/>
    <tableColumn id="7" xr3:uid="{00000000-0010-0000-0400-000007000000}" name="#REFERENCE!" dataDxfId="61"/>
    <tableColumn id="8" xr3:uid="{00000000-0010-0000-0400-000008000000}" name="Ikon" dataDxfId="60"/>
    <tableColumn id="10" xr3:uid="{00000000-0010-0000-0400-00000A000000}" name="Spørgsmål" dataDxfId="59"/>
    <tableColumn id="11" xr3:uid="{00000000-0010-0000-0400-00000B000000}" name="Svar" dataDxfId="58"/>
    <tableColumn id="12" xr3:uid="{00000000-0010-0000-0400-00000C000000}" name="Uddybende kommentarer" dataDxfId="57"/>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el4210" displayName="Tabel4210" ref="A4:K173" totalsRowShown="0" headerRowDxfId="56" dataDxfId="54" headerRowBorderDxfId="55" tableBorderDxfId="53">
  <autoFilter ref="A4:K173" xr:uid="{00000000-0009-0000-0100-000009000000}"/>
  <tableColumns count="11">
    <tableColumn id="1" xr3:uid="{00000000-0010-0000-0500-000001000000}" name="Tema" dataDxfId="52"/>
    <tableColumn id="2" xr3:uid="{00000000-0010-0000-0500-000002000000}" name="ID" dataDxfId="51">
      <calculatedColumnFormula>B3</calculatedColumnFormula>
    </tableColumn>
    <tableColumn id="3" xr3:uid="{00000000-0010-0000-0500-000003000000}" name="Emne" dataDxfId="50"/>
    <tableColumn id="4" xr3:uid="{00000000-0010-0000-0500-000004000000}" name="DGNB kriterium" dataDxfId="49"/>
    <tableColumn id="5" xr3:uid="{00000000-0010-0000-0500-000005000000}" name="Byggeudvalg eller Hovedbestyrelse" dataDxfId="48"/>
    <tableColumn id="6" xr3:uid="{00000000-0010-0000-0500-000006000000}" name="Projektleder" dataDxfId="47"/>
    <tableColumn id="7" xr3:uid="{00000000-0010-0000-0500-000007000000}" name="#REFERENCE!" dataDxfId="46"/>
    <tableColumn id="8" xr3:uid="{00000000-0010-0000-0500-000008000000}" name="Ikon" dataDxfId="45"/>
    <tableColumn id="10" xr3:uid="{00000000-0010-0000-0500-00000A000000}" name="Spørgsmål" dataDxfId="44"/>
    <tableColumn id="11" xr3:uid="{00000000-0010-0000-0500-00000B000000}" name="Svar" dataDxfId="43"/>
    <tableColumn id="12" xr3:uid="{00000000-0010-0000-0500-00000C000000}" name="Uddybende kommentarer" dataDxfId="42"/>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el4211" displayName="Tabel4211" ref="A4:K173" totalsRowShown="0" headerRowDxfId="41" dataDxfId="39" headerRowBorderDxfId="40" tableBorderDxfId="38">
  <autoFilter ref="A4:K173" xr:uid="{00000000-0009-0000-0100-00000A000000}"/>
  <tableColumns count="11">
    <tableColumn id="1" xr3:uid="{00000000-0010-0000-0600-000001000000}" name="Tema" dataDxfId="37"/>
    <tableColumn id="2" xr3:uid="{00000000-0010-0000-0600-000002000000}" name="ID" dataDxfId="36">
      <calculatedColumnFormula>B3</calculatedColumnFormula>
    </tableColumn>
    <tableColumn id="3" xr3:uid="{00000000-0010-0000-0600-000003000000}" name="Emne" dataDxfId="35"/>
    <tableColumn id="4" xr3:uid="{00000000-0010-0000-0600-000004000000}" name="DGNB kriterium" dataDxfId="34"/>
    <tableColumn id="5" xr3:uid="{00000000-0010-0000-0600-000005000000}" name="Byggeudvalg eller Hovedbestyrelse" dataDxfId="33"/>
    <tableColumn id="6" xr3:uid="{00000000-0010-0000-0600-000006000000}" name="Projektleder" dataDxfId="32"/>
    <tableColumn id="7" xr3:uid="{00000000-0010-0000-0600-000007000000}" name="#REFERENCE!" dataDxfId="31"/>
    <tableColumn id="8" xr3:uid="{00000000-0010-0000-0600-000008000000}" name="Ikon" dataDxfId="30"/>
    <tableColumn id="10" xr3:uid="{00000000-0010-0000-0600-00000A000000}" name="Spørgsmål" dataDxfId="29"/>
    <tableColumn id="11" xr3:uid="{00000000-0010-0000-0600-00000B000000}" name="Svar" dataDxfId="28"/>
    <tableColumn id="12" xr3:uid="{00000000-0010-0000-0600-00000C000000}" name="Uddybende kommentarer" dataDxfId="27"/>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el4215" displayName="Tabel4215" ref="A4:K173" totalsRowShown="0" headerRowDxfId="26" dataDxfId="24" headerRowBorderDxfId="25" tableBorderDxfId="23">
  <autoFilter ref="A4:K173" xr:uid="{00000000-0009-0000-0100-00000E000000}"/>
  <tableColumns count="11">
    <tableColumn id="1" xr3:uid="{00000000-0010-0000-0700-000001000000}" name="Tema" dataDxfId="22"/>
    <tableColumn id="2" xr3:uid="{00000000-0010-0000-0700-000002000000}" name="ID" dataDxfId="21">
      <calculatedColumnFormula>B3</calculatedColumnFormula>
    </tableColumn>
    <tableColumn id="3" xr3:uid="{00000000-0010-0000-0700-000003000000}" name="Emne" dataDxfId="20"/>
    <tableColumn id="4" xr3:uid="{00000000-0010-0000-0700-000004000000}" name="DGNB kriterium" dataDxfId="19"/>
    <tableColumn id="5" xr3:uid="{00000000-0010-0000-0700-000005000000}" name="Byggeudvalg eller Hovedbestyrelse" dataDxfId="18"/>
    <tableColumn id="6" xr3:uid="{00000000-0010-0000-0700-000006000000}" name="Projektleder" dataDxfId="17"/>
    <tableColumn id="7" xr3:uid="{00000000-0010-0000-0700-000007000000}" name="#REFERENCE!" dataDxfId="16"/>
    <tableColumn id="8" xr3:uid="{00000000-0010-0000-0700-000008000000}" name="Ikon" dataDxfId="15"/>
    <tableColumn id="10" xr3:uid="{00000000-0010-0000-0700-00000A000000}" name="Spørgsmål" dataDxfId="14"/>
    <tableColumn id="11" xr3:uid="{00000000-0010-0000-0700-00000B000000}" name="Svar" dataDxfId="13"/>
    <tableColumn id="12" xr3:uid="{00000000-0010-0000-0700-00000C000000}" name="Uddybende kommentarer" dataDxfId="12"/>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el7" displayName="Tabel7" ref="A9:F244" totalsRowShown="0" headerRowDxfId="11" dataDxfId="9" headerRowBorderDxfId="10" tableBorderDxfId="8">
  <autoFilter ref="A9:F244" xr:uid="{00000000-0009-0000-0100-000007000000}"/>
  <tableColumns count="6">
    <tableColumn id="1" xr3:uid="{00000000-0010-0000-0800-000001000000}" name="Kriterium" dataDxfId="7"/>
    <tableColumn id="2" xr3:uid="{00000000-0010-0000-0800-000002000000}" name="Indikator" dataDxfId="6"/>
    <tableColumn id="3" xr3:uid="{00000000-0010-0000-0800-000003000000}" name="Underkriterium" dataDxfId="5"/>
    <tableColumn id="4" xr3:uid="{00000000-0010-0000-0800-000004000000}" name="Spørgsmål" dataDxfId="4"/>
    <tableColumn id="5" xr3:uid="{00000000-0010-0000-0800-000005000000}" name="Svar" dataDxfId="3"/>
    <tableColumn id="6" xr3:uid="{00000000-0010-0000-0800-000006000000}" name="Uddybende kommentarer" dataDxfId="2"/>
  </tableColumns>
  <tableStyleInfo name="TableStyleLight15"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8.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theme="0" tint="-0.14999847407452621"/>
  </sheetPr>
  <dimension ref="A1:C19"/>
  <sheetViews>
    <sheetView view="pageLayout" zoomScale="70" zoomScaleNormal="100" zoomScalePageLayoutView="70" workbookViewId="0">
      <selection activeCell="A6" sqref="A6"/>
    </sheetView>
  </sheetViews>
  <sheetFormatPr defaultColWidth="8.73046875" defaultRowHeight="14.25" x14ac:dyDescent="0.45"/>
  <cols>
    <col min="1" max="1" width="15.265625" style="30" customWidth="1"/>
    <col min="2" max="2" width="31.73046875" style="30" customWidth="1"/>
    <col min="3" max="3" width="37.265625" style="30" customWidth="1"/>
    <col min="4" max="16384" width="8.73046875" style="30"/>
  </cols>
  <sheetData>
    <row r="1" spans="1:3" x14ac:dyDescent="0.45">
      <c r="A1" s="761" t="s">
        <v>0</v>
      </c>
      <c r="B1" s="761"/>
      <c r="C1" s="761"/>
    </row>
    <row r="2" spans="1:3" ht="60.4" customHeight="1" x14ac:dyDescent="0.45">
      <c r="A2" s="759" t="s">
        <v>1071</v>
      </c>
      <c r="B2" s="759"/>
      <c r="C2" s="759"/>
    </row>
    <row r="3" spans="1:3" x14ac:dyDescent="0.45">
      <c r="A3" s="291"/>
      <c r="B3" s="291"/>
      <c r="C3" s="291"/>
    </row>
    <row r="4" spans="1:3" x14ac:dyDescent="0.45">
      <c r="A4" s="759" t="s">
        <v>1</v>
      </c>
      <c r="B4" s="759"/>
      <c r="C4" s="759"/>
    </row>
    <row r="5" spans="1:3" ht="377.25" customHeight="1" x14ac:dyDescent="0.45">
      <c r="A5" s="762" t="s">
        <v>2</v>
      </c>
      <c r="B5" s="762"/>
      <c r="C5" s="762"/>
    </row>
    <row r="6" spans="1:3" x14ac:dyDescent="0.45">
      <c r="A6" s="293"/>
      <c r="B6" s="293"/>
      <c r="C6" s="293"/>
    </row>
    <row r="7" spans="1:3" ht="214.5" customHeight="1" x14ac:dyDescent="0.45">
      <c r="A7" s="762" t="s">
        <v>1069</v>
      </c>
      <c r="B7" s="762"/>
      <c r="C7" s="762"/>
    </row>
    <row r="8" spans="1:3" x14ac:dyDescent="0.45">
      <c r="A8" s="293"/>
      <c r="B8" s="293"/>
      <c r="C8" s="293"/>
    </row>
    <row r="9" spans="1:3" x14ac:dyDescent="0.45">
      <c r="A9" s="760" t="s">
        <v>3</v>
      </c>
      <c r="B9" s="760"/>
      <c r="C9" s="760"/>
    </row>
    <row r="10" spans="1:3" ht="42" customHeight="1" x14ac:dyDescent="0.45">
      <c r="A10" s="760" t="s">
        <v>4</v>
      </c>
      <c r="B10" s="760"/>
      <c r="C10" s="760"/>
    </row>
    <row r="11" spans="1:3" x14ac:dyDescent="0.45">
      <c r="A11" s="292"/>
      <c r="B11" s="292"/>
      <c r="C11" s="292"/>
    </row>
    <row r="12" spans="1:3" x14ac:dyDescent="0.45">
      <c r="A12" s="760" t="s">
        <v>5</v>
      </c>
      <c r="B12" s="760"/>
      <c r="C12" s="760"/>
    </row>
    <row r="13" spans="1:3" ht="27.75" customHeight="1" x14ac:dyDescent="0.45">
      <c r="A13" s="760" t="s">
        <v>6</v>
      </c>
      <c r="B13" s="760"/>
      <c r="C13" s="760"/>
    </row>
    <row r="14" spans="1:3" ht="70.5" customHeight="1" x14ac:dyDescent="0.45">
      <c r="A14" s="760" t="s">
        <v>7</v>
      </c>
      <c r="B14" s="760"/>
      <c r="C14" s="760"/>
    </row>
    <row r="15" spans="1:3" x14ac:dyDescent="0.45">
      <c r="A15" s="758"/>
      <c r="B15" s="758"/>
      <c r="C15" s="758"/>
    </row>
    <row r="16" spans="1:3" s="33" customFormat="1" x14ac:dyDescent="0.45">
      <c r="A16" s="757" t="s">
        <v>1070</v>
      </c>
      <c r="B16" s="81"/>
      <c r="C16" s="81"/>
    </row>
    <row r="17" spans="1:3" x14ac:dyDescent="0.45">
      <c r="A17" s="82"/>
      <c r="B17" s="83"/>
      <c r="C17" s="83"/>
    </row>
    <row r="18" spans="1:3" x14ac:dyDescent="0.45">
      <c r="A18" s="82"/>
      <c r="B18" s="83"/>
      <c r="C18" s="83"/>
    </row>
    <row r="19" spans="1:3" x14ac:dyDescent="0.45">
      <c r="A19" s="82"/>
      <c r="B19" s="83"/>
      <c r="C19" s="83"/>
    </row>
  </sheetData>
  <sheetProtection sheet="1" objects="1" scenarios="1"/>
  <mergeCells count="11">
    <mergeCell ref="A15:C15"/>
    <mergeCell ref="A4:C4"/>
    <mergeCell ref="A2:C2"/>
    <mergeCell ref="A10:C10"/>
    <mergeCell ref="A1:C1"/>
    <mergeCell ref="A13:C13"/>
    <mergeCell ref="A5:C5"/>
    <mergeCell ref="A14:C14"/>
    <mergeCell ref="A9:C9"/>
    <mergeCell ref="A12:C12"/>
    <mergeCell ref="A7:C7"/>
  </mergeCells>
  <pageMargins left="0.7" right="0.7" top="0.75" bottom="0.75" header="0.3" footer="0.3"/>
  <pageSetup paperSize="9" orientation="portrait" r:id="rId1"/>
  <headerFooter>
    <oddHeader>&amp;C&amp;9Introduktion til dialog- og prioriteringsværktøj &amp;"-,Fed"&amp;11
&amp;R&amp;9 17. november 2017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1">
    <tabColor rgb="FF92D050"/>
    <pageSetUpPr fitToPage="1"/>
  </sheetPr>
  <dimension ref="A1:L58"/>
  <sheetViews>
    <sheetView view="pageLayout" topLeftCell="A35" zoomScale="70" zoomScaleNormal="100" zoomScaleSheetLayoutView="80" zoomScalePageLayoutView="70" workbookViewId="0">
      <selection activeCell="C42" sqref="C42"/>
    </sheetView>
  </sheetViews>
  <sheetFormatPr defaultColWidth="9" defaultRowHeight="14.25" x14ac:dyDescent="0.45"/>
  <cols>
    <col min="1" max="1" width="31.3984375" style="295" customWidth="1"/>
    <col min="2" max="2" width="9" style="295"/>
    <col min="3" max="3" width="21.3984375" style="295" customWidth="1"/>
    <col min="4" max="4" width="19.265625" style="295" customWidth="1"/>
    <col min="5" max="5" width="7.73046875" style="295" customWidth="1"/>
    <col min="6" max="7" width="9" style="295"/>
    <col min="8" max="8" width="9.265625" style="295" hidden="1" customWidth="1"/>
    <col min="9" max="16384" width="9" style="295"/>
  </cols>
  <sheetData>
    <row r="1" spans="1:8" x14ac:dyDescent="0.45">
      <c r="A1" s="85" t="s">
        <v>8</v>
      </c>
      <c r="B1" s="85"/>
      <c r="C1" s="83"/>
      <c r="D1" s="83"/>
      <c r="E1" s="83"/>
      <c r="H1" s="570" t="s">
        <v>9</v>
      </c>
    </row>
    <row r="2" spans="1:8" x14ac:dyDescent="0.45">
      <c r="H2" s="87" t="s">
        <v>10</v>
      </c>
    </row>
    <row r="3" spans="1:8" x14ac:dyDescent="0.45">
      <c r="A3" s="574" t="s">
        <v>11</v>
      </c>
      <c r="B3" s="566"/>
      <c r="C3" s="83"/>
      <c r="D3" s="83"/>
      <c r="E3" s="83"/>
      <c r="H3" s="87" t="s">
        <v>12</v>
      </c>
    </row>
    <row r="4" spans="1:8" x14ac:dyDescent="0.45">
      <c r="A4" s="88" t="s">
        <v>13</v>
      </c>
      <c r="B4" s="769"/>
      <c r="C4" s="769"/>
      <c r="D4" s="769"/>
      <c r="E4" s="769"/>
      <c r="H4" s="570" t="s">
        <v>14</v>
      </c>
    </row>
    <row r="5" spans="1:8" x14ac:dyDescent="0.45">
      <c r="A5" s="88" t="s">
        <v>15</v>
      </c>
      <c r="B5" s="769"/>
      <c r="C5" s="769"/>
      <c r="D5" s="769"/>
      <c r="E5" s="769"/>
      <c r="H5" s="570"/>
    </row>
    <row r="6" spans="1:8" x14ac:dyDescent="0.45">
      <c r="A6" s="88" t="s">
        <v>16</v>
      </c>
      <c r="B6" s="769"/>
      <c r="C6" s="769"/>
      <c r="D6" s="769"/>
      <c r="E6" s="769"/>
      <c r="H6" s="570" t="s">
        <v>9</v>
      </c>
    </row>
    <row r="7" spans="1:8" x14ac:dyDescent="0.45">
      <c r="A7" s="88" t="s">
        <v>17</v>
      </c>
      <c r="B7" s="769"/>
      <c r="C7" s="769"/>
      <c r="D7" s="769"/>
      <c r="E7" s="769"/>
      <c r="H7" s="570" t="s">
        <v>18</v>
      </c>
    </row>
    <row r="8" spans="1:8" x14ac:dyDescent="0.45">
      <c r="A8" s="88" t="s">
        <v>19</v>
      </c>
      <c r="B8" s="769"/>
      <c r="C8" s="769"/>
      <c r="D8" s="769"/>
      <c r="E8" s="769"/>
      <c r="H8" s="570" t="s">
        <v>20</v>
      </c>
    </row>
    <row r="9" spans="1:8" x14ac:dyDescent="0.45">
      <c r="A9" s="88" t="s">
        <v>21</v>
      </c>
      <c r="B9" s="769"/>
      <c r="C9" s="769"/>
      <c r="D9" s="769"/>
      <c r="E9" s="769"/>
      <c r="H9" s="570"/>
    </row>
    <row r="10" spans="1:8" x14ac:dyDescent="0.45">
      <c r="A10" s="88" t="s">
        <v>22</v>
      </c>
      <c r="B10" s="769"/>
      <c r="C10" s="769"/>
      <c r="D10" s="769"/>
      <c r="E10" s="769"/>
      <c r="H10" s="570" t="s">
        <v>9</v>
      </c>
    </row>
    <row r="11" spans="1:8" x14ac:dyDescent="0.45">
      <c r="A11" s="88" t="s">
        <v>23</v>
      </c>
      <c r="B11" s="769"/>
      <c r="C11" s="769"/>
      <c r="D11" s="769"/>
      <c r="E11" s="769"/>
      <c r="H11" s="573" t="s">
        <v>24</v>
      </c>
    </row>
    <row r="12" spans="1:8" x14ac:dyDescent="0.45">
      <c r="A12" s="88" t="s">
        <v>25</v>
      </c>
      <c r="B12" s="769"/>
      <c r="C12" s="769"/>
      <c r="D12" s="769"/>
      <c r="E12" s="769"/>
      <c r="H12" s="573" t="s">
        <v>26</v>
      </c>
    </row>
    <row r="13" spans="1:8" x14ac:dyDescent="0.45">
      <c r="A13" s="88" t="s">
        <v>27</v>
      </c>
      <c r="B13" s="769"/>
      <c r="C13" s="769"/>
      <c r="D13" s="769"/>
      <c r="E13" s="769"/>
      <c r="H13" s="573" t="s">
        <v>28</v>
      </c>
    </row>
    <row r="14" spans="1:8" ht="23.25" x14ac:dyDescent="0.45">
      <c r="A14" s="88" t="s">
        <v>29</v>
      </c>
      <c r="B14" s="42" t="s">
        <v>9</v>
      </c>
      <c r="C14" s="770"/>
      <c r="D14" s="770"/>
      <c r="E14" s="770"/>
      <c r="H14" s="573" t="s">
        <v>30</v>
      </c>
    </row>
    <row r="15" spans="1:8" x14ac:dyDescent="0.45">
      <c r="H15" s="573" t="s">
        <v>31</v>
      </c>
    </row>
    <row r="16" spans="1:8" x14ac:dyDescent="0.45">
      <c r="A16" s="771" t="s">
        <v>32</v>
      </c>
      <c r="B16" s="771"/>
      <c r="C16" s="771"/>
      <c r="D16" s="89"/>
      <c r="H16" s="573" t="s">
        <v>33</v>
      </c>
    </row>
    <row r="17" spans="1:12" ht="28.5" customHeight="1" x14ac:dyDescent="0.45">
      <c r="A17" s="777" t="s">
        <v>34</v>
      </c>
      <c r="B17" s="777"/>
      <c r="C17" s="777"/>
      <c r="D17" s="777"/>
      <c r="H17" s="573" t="s">
        <v>35</v>
      </c>
    </row>
    <row r="18" spans="1:12" hidden="1" x14ac:dyDescent="0.45">
      <c r="A18" s="569"/>
      <c r="B18" s="569"/>
      <c r="C18" s="568" t="s">
        <v>36</v>
      </c>
      <c r="D18" s="89"/>
      <c r="H18" s="573" t="s">
        <v>37</v>
      </c>
    </row>
    <row r="19" spans="1:12" hidden="1" x14ac:dyDescent="0.45">
      <c r="A19" s="569"/>
      <c r="B19" s="569"/>
      <c r="C19" s="568" t="s">
        <v>38</v>
      </c>
      <c r="D19" s="89"/>
      <c r="H19" s="573" t="s">
        <v>39</v>
      </c>
    </row>
    <row r="20" spans="1:12" ht="14.25" customHeight="1" x14ac:dyDescent="0.45">
      <c r="A20" s="771" t="s">
        <v>40</v>
      </c>
      <c r="B20" s="771"/>
      <c r="C20" s="84" t="str">
        <f>"-1"</f>
        <v>-1</v>
      </c>
      <c r="D20" s="90" t="s">
        <v>41</v>
      </c>
      <c r="E20" s="83"/>
      <c r="F20" s="83"/>
      <c r="H20" s="573" t="s">
        <v>42</v>
      </c>
    </row>
    <row r="21" spans="1:12" ht="21" x14ac:dyDescent="0.45">
      <c r="A21" s="771" t="s">
        <v>43</v>
      </c>
      <c r="B21" s="771"/>
      <c r="C21" s="84" t="str">
        <f>"-2-"</f>
        <v>-2-</v>
      </c>
      <c r="D21" s="90" t="s">
        <v>44</v>
      </c>
      <c r="E21" s="83"/>
      <c r="F21" s="83"/>
      <c r="H21" s="573" t="s">
        <v>45</v>
      </c>
    </row>
    <row r="22" spans="1:12" ht="14.25" customHeight="1" x14ac:dyDescent="0.45">
      <c r="A22" s="771" t="s">
        <v>46</v>
      </c>
      <c r="B22" s="771"/>
      <c r="C22" s="84" t="str">
        <f>"-3-"</f>
        <v>-3-</v>
      </c>
      <c r="D22" s="90" t="s">
        <v>47</v>
      </c>
      <c r="E22" s="83"/>
      <c r="F22" s="83"/>
    </row>
    <row r="23" spans="1:12" ht="21" x14ac:dyDescent="0.45">
      <c r="A23" s="771" t="s">
        <v>48</v>
      </c>
      <c r="B23" s="771"/>
      <c r="C23" s="84" t="str">
        <f>"-4-"</f>
        <v>-4-</v>
      </c>
      <c r="D23" s="90" t="s">
        <v>49</v>
      </c>
      <c r="E23" s="83"/>
      <c r="F23" s="83"/>
      <c r="H23" s="295" t="s">
        <v>9</v>
      </c>
    </row>
    <row r="24" spans="1:12" x14ac:dyDescent="0.45">
      <c r="A24" s="771" t="s">
        <v>50</v>
      </c>
      <c r="B24" s="771"/>
      <c r="C24" s="84" t="str">
        <f>"-5-"</f>
        <v>-5-</v>
      </c>
      <c r="D24" s="83"/>
      <c r="E24" s="83"/>
      <c r="F24" s="83"/>
      <c r="H24" s="573" t="s">
        <v>51</v>
      </c>
    </row>
    <row r="25" spans="1:12" x14ac:dyDescent="0.45">
      <c r="A25" s="771" t="s">
        <v>52</v>
      </c>
      <c r="B25" s="771"/>
      <c r="C25" s="84" t="str">
        <f>"-6-"</f>
        <v>-6-</v>
      </c>
      <c r="D25" s="83"/>
      <c r="E25" s="83"/>
      <c r="F25" s="83"/>
      <c r="H25" s="573" t="s">
        <v>53</v>
      </c>
    </row>
    <row r="26" spans="1:12" x14ac:dyDescent="0.45">
      <c r="A26" s="771" t="s">
        <v>54</v>
      </c>
      <c r="B26" s="771"/>
      <c r="C26" s="84" t="str">
        <f>"-7-"</f>
        <v>-7-</v>
      </c>
      <c r="D26" s="83"/>
      <c r="E26" s="83"/>
      <c r="F26" s="83"/>
      <c r="H26" s="573" t="s">
        <v>55</v>
      </c>
    </row>
    <row r="27" spans="1:12" s="94" customFormat="1" ht="14.25" customHeight="1" x14ac:dyDescent="0.45">
      <c r="A27" s="91"/>
      <c r="B27" s="91"/>
      <c r="C27" s="92"/>
      <c r="D27" s="93"/>
      <c r="E27" s="93"/>
      <c r="F27" s="93"/>
    </row>
    <row r="28" spans="1:12" x14ac:dyDescent="0.45">
      <c r="H28" s="570" t="s">
        <v>9</v>
      </c>
    </row>
    <row r="29" spans="1:12" x14ac:dyDescent="0.45">
      <c r="A29" s="576" t="s">
        <v>57</v>
      </c>
      <c r="B29" s="576"/>
      <c r="C29" s="576"/>
      <c r="H29" s="573" t="s">
        <v>58</v>
      </c>
    </row>
    <row r="30" spans="1:12" ht="51" customHeight="1" x14ac:dyDescent="0.45">
      <c r="A30" s="776" t="s">
        <v>59</v>
      </c>
      <c r="B30" s="776"/>
      <c r="C30" s="776"/>
      <c r="D30" s="776"/>
      <c r="E30" s="776"/>
      <c r="F30" s="568"/>
      <c r="G30" s="568"/>
      <c r="H30" s="573" t="s">
        <v>60</v>
      </c>
      <c r="I30" s="568"/>
      <c r="J30" s="568"/>
      <c r="K30" s="568"/>
      <c r="L30" s="568"/>
    </row>
    <row r="31" spans="1:12" ht="23.25" x14ac:dyDescent="0.45">
      <c r="A31" s="772" t="s">
        <v>61</v>
      </c>
      <c r="B31" s="773"/>
      <c r="C31" s="571" t="s">
        <v>62</v>
      </c>
      <c r="D31" s="95"/>
      <c r="E31" s="96" t="s">
        <v>63</v>
      </c>
      <c r="F31" s="97"/>
      <c r="H31" s="97"/>
      <c r="I31" s="97"/>
      <c r="L31" s="568"/>
    </row>
    <row r="32" spans="1:12" ht="39.75" customHeight="1" x14ac:dyDescent="0.45">
      <c r="A32" s="767" t="s">
        <v>64</v>
      </c>
      <c r="B32" s="768"/>
      <c r="C32" s="774" t="s">
        <v>65</v>
      </c>
      <c r="D32" s="775"/>
      <c r="E32" s="567" t="s">
        <v>66</v>
      </c>
      <c r="F32" s="98"/>
      <c r="H32" s="98"/>
      <c r="I32" s="98"/>
      <c r="L32" s="568"/>
    </row>
    <row r="33" spans="1:12" x14ac:dyDescent="0.45">
      <c r="A33" s="767" t="s">
        <v>67</v>
      </c>
      <c r="B33" s="768"/>
      <c r="C33" s="78" t="s">
        <v>9</v>
      </c>
      <c r="D33" s="303" t="s">
        <v>68</v>
      </c>
      <c r="E33" s="567" t="s">
        <v>69</v>
      </c>
      <c r="H33" s="98"/>
      <c r="I33" s="98"/>
      <c r="L33" s="568"/>
    </row>
    <row r="34" spans="1:12" ht="39.75" customHeight="1" x14ac:dyDescent="0.45">
      <c r="A34" s="767" t="s">
        <v>70</v>
      </c>
      <c r="B34" s="768"/>
      <c r="C34" s="774" t="s">
        <v>71</v>
      </c>
      <c r="D34" s="775"/>
      <c r="E34" s="567" t="s">
        <v>69</v>
      </c>
      <c r="F34" s="98"/>
      <c r="H34" s="98"/>
      <c r="I34" s="98"/>
      <c r="L34" s="568"/>
    </row>
    <row r="35" spans="1:12" x14ac:dyDescent="0.45">
      <c r="A35" s="767" t="s">
        <v>72</v>
      </c>
      <c r="B35" s="768"/>
      <c r="C35" s="78" t="s">
        <v>9</v>
      </c>
      <c r="D35" s="227"/>
      <c r="E35" s="567" t="s">
        <v>73</v>
      </c>
      <c r="F35" s="98"/>
      <c r="H35" s="98"/>
      <c r="I35" s="98"/>
      <c r="L35" s="568"/>
    </row>
    <row r="36" spans="1:12" ht="27" customHeight="1" x14ac:dyDescent="0.45">
      <c r="A36" s="767" t="s">
        <v>74</v>
      </c>
      <c r="B36" s="768"/>
      <c r="C36" s="774" t="s">
        <v>75</v>
      </c>
      <c r="D36" s="775"/>
      <c r="E36" s="567" t="s">
        <v>73</v>
      </c>
      <c r="F36" s="98"/>
      <c r="H36" s="98"/>
      <c r="I36" s="98"/>
      <c r="L36" s="568"/>
    </row>
    <row r="37" spans="1:12" x14ac:dyDescent="0.45">
      <c r="A37" s="767" t="s">
        <v>76</v>
      </c>
      <c r="B37" s="768"/>
      <c r="C37" s="78" t="s">
        <v>9</v>
      </c>
      <c r="D37" s="303"/>
      <c r="E37" s="567" t="s">
        <v>73</v>
      </c>
      <c r="F37" s="98"/>
      <c r="H37" s="98"/>
      <c r="I37" s="98"/>
      <c r="L37" s="568"/>
    </row>
    <row r="38" spans="1:12" ht="24.75" customHeight="1" x14ac:dyDescent="0.45">
      <c r="A38" s="767" t="s">
        <v>77</v>
      </c>
      <c r="B38" s="768"/>
      <c r="C38" s="77" t="s">
        <v>9</v>
      </c>
      <c r="D38" s="303"/>
      <c r="E38" s="567" t="s">
        <v>78</v>
      </c>
      <c r="F38" s="98"/>
      <c r="H38" s="98"/>
      <c r="I38" s="98"/>
      <c r="L38" s="568"/>
    </row>
    <row r="39" spans="1:12" ht="30" customHeight="1" x14ac:dyDescent="0.45">
      <c r="A39" s="767" t="s">
        <v>79</v>
      </c>
      <c r="B39" s="768"/>
      <c r="C39" s="774" t="s">
        <v>80</v>
      </c>
      <c r="D39" s="775"/>
      <c r="E39" s="567" t="s">
        <v>81</v>
      </c>
      <c r="F39" s="98"/>
      <c r="H39" s="98"/>
      <c r="I39" s="98"/>
      <c r="L39" s="568"/>
    </row>
    <row r="40" spans="1:12" ht="30" customHeight="1" x14ac:dyDescent="0.45">
      <c r="A40" s="767" t="s">
        <v>82</v>
      </c>
      <c r="B40" s="768"/>
      <c r="C40" s="77" t="s">
        <v>9</v>
      </c>
      <c r="D40" s="303"/>
      <c r="E40" s="567" t="s">
        <v>83</v>
      </c>
      <c r="F40" s="98"/>
      <c r="H40" s="98"/>
      <c r="I40" s="98"/>
      <c r="L40" s="568"/>
    </row>
    <row r="41" spans="1:12" ht="30" customHeight="1" x14ac:dyDescent="0.45">
      <c r="A41" s="767" t="s">
        <v>84</v>
      </c>
      <c r="B41" s="768"/>
      <c r="C41" s="79" t="s">
        <v>9</v>
      </c>
      <c r="D41" s="303"/>
      <c r="E41" s="567" t="str">
        <f>IF(C40="Arkitektkonkurrence","SOC 3.1","")</f>
        <v/>
      </c>
      <c r="F41" s="98"/>
      <c r="H41" s="98"/>
      <c r="I41" s="98"/>
      <c r="L41" s="568"/>
    </row>
    <row r="42" spans="1:12" ht="37.5" customHeight="1" x14ac:dyDescent="0.45">
      <c r="A42" s="767" t="s">
        <v>85</v>
      </c>
      <c r="B42" s="768"/>
      <c r="C42" s="78" t="s">
        <v>9</v>
      </c>
      <c r="D42" s="303"/>
      <c r="E42" s="567" t="s">
        <v>86</v>
      </c>
      <c r="F42" s="98"/>
      <c r="H42" s="98"/>
      <c r="I42" s="98"/>
      <c r="L42" s="568"/>
    </row>
    <row r="43" spans="1:12" ht="39" customHeight="1" x14ac:dyDescent="0.45">
      <c r="A43" s="767" t="s">
        <v>87</v>
      </c>
      <c r="B43" s="768"/>
      <c r="C43" s="78" t="s">
        <v>9</v>
      </c>
      <c r="D43" s="303"/>
      <c r="E43" s="567" t="s">
        <v>86</v>
      </c>
      <c r="F43" s="98"/>
      <c r="H43" s="98"/>
      <c r="I43" s="98"/>
      <c r="L43" s="568"/>
    </row>
    <row r="44" spans="1:12" ht="34.9" customHeight="1" x14ac:dyDescent="0.45">
      <c r="A44" s="767" t="s">
        <v>88</v>
      </c>
      <c r="B44" s="768"/>
      <c r="C44" s="78" t="s">
        <v>9</v>
      </c>
      <c r="D44" s="303"/>
      <c r="E44" s="567" t="s">
        <v>89</v>
      </c>
      <c r="F44" s="98"/>
      <c r="H44" s="98"/>
      <c r="I44" s="98"/>
      <c r="L44" s="568"/>
    </row>
    <row r="45" spans="1:12" ht="50.85" customHeight="1" x14ac:dyDescent="0.45">
      <c r="A45" s="767" t="str">
        <f>IF(C44="Ja","Hvilke brandkrav, der går udover myndighedskravet, stilles til projektet?","")</f>
        <v/>
      </c>
      <c r="B45" s="768"/>
      <c r="C45" s="774" t="str">
        <f>IF(C44="Ja","Beskriv, hvilke krav der stilles til brandsikkerhed, udover de myndighedskrav, der er stillet til projektet. Eksempler er: forøgelse af bredde på flugtvej; etablering af panikbelysning; etablering af sprinkleranlæg etc.","")</f>
        <v/>
      </c>
      <c r="D45" s="775"/>
      <c r="E45" s="567" t="str">
        <f>IF(C44="Ja","TEC 1.1","")</f>
        <v/>
      </c>
      <c r="F45" s="98"/>
      <c r="H45" s="98"/>
      <c r="I45" s="98"/>
      <c r="L45" s="568"/>
    </row>
    <row r="46" spans="1:12" ht="48" customHeight="1" x14ac:dyDescent="0.45">
      <c r="A46" s="767" t="s">
        <v>90</v>
      </c>
      <c r="B46" s="768"/>
      <c r="C46" s="774" t="s">
        <v>91</v>
      </c>
      <c r="D46" s="775"/>
      <c r="E46" s="567" t="s">
        <v>92</v>
      </c>
      <c r="F46" s="98"/>
      <c r="H46" s="98"/>
      <c r="I46" s="98"/>
      <c r="L46" s="568"/>
    </row>
    <row r="47" spans="1:12" ht="46.15" customHeight="1" x14ac:dyDescent="0.45">
      <c r="A47" s="767" t="s">
        <v>731</v>
      </c>
      <c r="B47" s="768"/>
      <c r="C47" s="77" t="s">
        <v>9</v>
      </c>
      <c r="D47" s="318"/>
      <c r="E47" s="567" t="s">
        <v>92</v>
      </c>
      <c r="F47" s="98"/>
      <c r="H47" s="98"/>
      <c r="I47" s="98"/>
      <c r="L47" s="568"/>
    </row>
    <row r="48" spans="1:12" ht="46.15" customHeight="1" x14ac:dyDescent="0.45">
      <c r="A48" s="763" t="s">
        <v>729</v>
      </c>
      <c r="B48" s="763"/>
      <c r="C48" s="77" t="s">
        <v>9</v>
      </c>
      <c r="D48" s="318"/>
      <c r="E48" s="567" t="s">
        <v>730</v>
      </c>
      <c r="F48" s="98"/>
      <c r="H48" s="98"/>
      <c r="I48" s="98"/>
      <c r="L48" s="568"/>
    </row>
    <row r="49" spans="1:12" ht="22.5" customHeight="1" x14ac:dyDescent="0.45">
      <c r="A49" s="231" t="s">
        <v>93</v>
      </c>
      <c r="B49" s="230"/>
      <c r="C49" s="623"/>
      <c r="D49" s="624"/>
      <c r="E49" s="230"/>
      <c r="F49" s="98"/>
      <c r="H49" s="98"/>
      <c r="I49" s="98"/>
      <c r="L49" s="568"/>
    </row>
    <row r="50" spans="1:12" ht="87" customHeight="1" x14ac:dyDescent="0.45">
      <c r="A50" s="763" t="s">
        <v>94</v>
      </c>
      <c r="B50" s="763"/>
      <c r="C50" s="77" t="s">
        <v>9</v>
      </c>
      <c r="D50" s="625" t="s">
        <v>95</v>
      </c>
      <c r="E50" s="573" t="s">
        <v>96</v>
      </c>
      <c r="H50" s="99"/>
      <c r="I50" s="99"/>
    </row>
    <row r="51" spans="1:12" ht="34.9" x14ac:dyDescent="0.45">
      <c r="A51" s="763" t="s">
        <v>97</v>
      </c>
      <c r="B51" s="763"/>
      <c r="C51" s="77" t="s">
        <v>9</v>
      </c>
      <c r="D51" s="625" t="s">
        <v>98</v>
      </c>
      <c r="E51" s="573" t="s">
        <v>96</v>
      </c>
    </row>
    <row r="52" spans="1:12" ht="58.15" x14ac:dyDescent="0.45">
      <c r="A52" s="766" t="s">
        <v>99</v>
      </c>
      <c r="B52" s="766"/>
      <c r="C52" s="77" t="s">
        <v>9</v>
      </c>
      <c r="D52" s="625" t="s">
        <v>100</v>
      </c>
      <c r="E52" s="572" t="s">
        <v>96</v>
      </c>
    </row>
    <row r="53" spans="1:12" ht="46.5" x14ac:dyDescent="0.45">
      <c r="A53" s="763" t="s">
        <v>101</v>
      </c>
      <c r="B53" s="763"/>
      <c r="C53" s="626" t="s">
        <v>36</v>
      </c>
      <c r="D53" s="625" t="s">
        <v>102</v>
      </c>
      <c r="E53" s="232" t="s">
        <v>96</v>
      </c>
      <c r="F53" s="233"/>
    </row>
    <row r="54" spans="1:12" ht="58.15" x14ac:dyDescent="0.45">
      <c r="A54" s="763" t="s">
        <v>103</v>
      </c>
      <c r="B54" s="763"/>
      <c r="C54" s="77" t="s">
        <v>9</v>
      </c>
      <c r="D54" s="625" t="s">
        <v>104</v>
      </c>
      <c r="E54" s="232" t="s">
        <v>96</v>
      </c>
    </row>
    <row r="55" spans="1:12" ht="46.5" x14ac:dyDescent="0.45">
      <c r="A55" s="763" t="s">
        <v>105</v>
      </c>
      <c r="B55" s="763"/>
      <c r="C55" s="77" t="s">
        <v>9</v>
      </c>
      <c r="D55" s="625" t="s">
        <v>106</v>
      </c>
      <c r="E55" s="573" t="s">
        <v>107</v>
      </c>
    </row>
    <row r="56" spans="1:12" ht="26.25" customHeight="1" x14ac:dyDescent="0.45">
      <c r="A56" s="764" t="s">
        <v>108</v>
      </c>
      <c r="B56" s="764"/>
      <c r="C56" s="765" t="s">
        <v>109</v>
      </c>
      <c r="D56" s="765"/>
      <c r="E56" s="573" t="s">
        <v>110</v>
      </c>
    </row>
    <row r="57" spans="1:12" ht="29.25" customHeight="1" x14ac:dyDescent="0.45">
      <c r="A57" s="764" t="s">
        <v>111</v>
      </c>
      <c r="B57" s="764"/>
      <c r="C57" s="765" t="s">
        <v>112</v>
      </c>
      <c r="D57" s="765"/>
      <c r="E57" s="573" t="s">
        <v>110</v>
      </c>
    </row>
    <row r="58" spans="1:12" ht="78" customHeight="1" x14ac:dyDescent="0.45">
      <c r="A58" s="763" t="s">
        <v>113</v>
      </c>
      <c r="B58" s="763"/>
      <c r="C58" s="77" t="s">
        <v>9</v>
      </c>
      <c r="D58" s="625" t="s">
        <v>114</v>
      </c>
      <c r="E58" s="573" t="s">
        <v>115</v>
      </c>
    </row>
  </sheetData>
  <sheetProtection sheet="1" selectLockedCells="1"/>
  <mergeCells count="56">
    <mergeCell ref="A48:B48"/>
    <mergeCell ref="A17:D17"/>
    <mergeCell ref="A35:B35"/>
    <mergeCell ref="C39:D39"/>
    <mergeCell ref="A38:B38"/>
    <mergeCell ref="A46:B46"/>
    <mergeCell ref="A47:B47"/>
    <mergeCell ref="A36:B36"/>
    <mergeCell ref="A45:B45"/>
    <mergeCell ref="C46:D46"/>
    <mergeCell ref="C45:D45"/>
    <mergeCell ref="A40:B40"/>
    <mergeCell ref="C36:D36"/>
    <mergeCell ref="A41:B41"/>
    <mergeCell ref="A37:B37"/>
    <mergeCell ref="A44:B44"/>
    <mergeCell ref="A16:C16"/>
    <mergeCell ref="A20:B20"/>
    <mergeCell ref="A21:B21"/>
    <mergeCell ref="C32:D32"/>
    <mergeCell ref="C34:D34"/>
    <mergeCell ref="A32:B32"/>
    <mergeCell ref="A33:B33"/>
    <mergeCell ref="A34:B34"/>
    <mergeCell ref="A22:B22"/>
    <mergeCell ref="A23:B23"/>
    <mergeCell ref="A24:B24"/>
    <mergeCell ref="A25:B25"/>
    <mergeCell ref="A30:E30"/>
    <mergeCell ref="A39:B39"/>
    <mergeCell ref="A42:B42"/>
    <mergeCell ref="A43:B43"/>
    <mergeCell ref="B5:E5"/>
    <mergeCell ref="B4:E4"/>
    <mergeCell ref="C14:E14"/>
    <mergeCell ref="B13:E13"/>
    <mergeCell ref="B12:E12"/>
    <mergeCell ref="B11:E11"/>
    <mergeCell ref="B10:E10"/>
    <mergeCell ref="B9:E9"/>
    <mergeCell ref="B6:E6"/>
    <mergeCell ref="B8:E8"/>
    <mergeCell ref="B7:E7"/>
    <mergeCell ref="A26:B26"/>
    <mergeCell ref="A31:B31"/>
    <mergeCell ref="A50:B50"/>
    <mergeCell ref="A51:B51"/>
    <mergeCell ref="A52:B52"/>
    <mergeCell ref="A53:B53"/>
    <mergeCell ref="A54:B54"/>
    <mergeCell ref="A58:B58"/>
    <mergeCell ref="A55:B55"/>
    <mergeCell ref="A56:B56"/>
    <mergeCell ref="A57:B57"/>
    <mergeCell ref="C56:D56"/>
    <mergeCell ref="C57:D57"/>
  </mergeCells>
  <dataValidations xWindow="1020" yWindow="619" count="9">
    <dataValidation type="list" allowBlank="1" showInputMessage="1" showErrorMessage="1" sqref="B14 C58 C33 C42:C44 C47:C48 D49 C50:C52 C54 C55" xr:uid="{00000000-0002-0000-0100-000000000000}">
      <formula1>$H$1:$H$3</formula1>
    </dataValidation>
    <dataValidation type="list" allowBlank="1" showInputMessage="1" showErrorMessage="1" sqref="C35" xr:uid="{00000000-0002-0000-0100-000001000000}">
      <formula1>$H$1:$H$4</formula1>
    </dataValidation>
    <dataValidation type="list" allowBlank="1" showInputMessage="1" showErrorMessage="1" sqref="C37" xr:uid="{00000000-0002-0000-0100-000002000000}">
      <formula1>$H$6:$H$8</formula1>
    </dataValidation>
    <dataValidation type="list" allowBlank="1" showInputMessage="1" showErrorMessage="1" sqref="C38" xr:uid="{00000000-0002-0000-0100-000003000000}">
      <formula1>$H$10:$H$21</formula1>
    </dataValidation>
    <dataValidation type="list" allowBlank="1" showInputMessage="1" showErrorMessage="1" sqref="C40" xr:uid="{00000000-0002-0000-0100-000004000000}">
      <formula1>$H$23:$H$26</formula1>
    </dataValidation>
    <dataValidation type="list" allowBlank="1" showInputMessage="1" showErrorMessage="1" sqref="C41" xr:uid="{00000000-0002-0000-0100-000005000000}">
      <formula1>$H$28:$H$30</formula1>
    </dataValidation>
    <dataValidation allowBlank="1" showErrorMessage="1" prompt="Indsæt kort beskrivelse af planrammernes krav." sqref="C32:D32" xr:uid="{00000000-0002-0000-0100-000006000000}"/>
    <dataValidation allowBlank="1" showErrorMessage="1" prompt="Beskriv, hvilke krav der stilles til brandsikkerhed, udover de myndighedskrav, der er stillet til projektet. Eksempler er: forøgelse af bredde på flugtvej; etablering af panikbelysning; etablering af sprinkleranlæg etc." sqref="C45:D45" xr:uid="{00000000-0002-0000-0100-000007000000}"/>
    <dataValidation allowBlank="1" showErrorMessage="1" sqref="D33 C34:D34" xr:uid="{00000000-0002-0000-0100-000008000000}"/>
  </dataValidations>
  <hyperlinks>
    <hyperlink ref="C32:D32" location="Projektforudsætninger!C32" tooltip="Indsæt kort beskrivelse af planrammernes krav." display="Indsæt kort beskrivelse af planrammernes krav." xr:uid="{00000000-0004-0000-0100-000000000000}"/>
    <hyperlink ref="D33" location="Projektforudsætninger!D33" tooltip="Beskriv krav." display="Hvis 'Ja', beskriv krav." xr:uid="{00000000-0004-0000-0100-000001000000}"/>
    <hyperlink ref="C34:D34" location="Projektforudsætninger!C34" tooltip="Beskriv, hvilke krav Kommunen stiller til håndtering af regnvand og grundvandsforholdene." display="Beskriv, hvilke krav Kommunen stiller til håndtering af regnvand og grundvandsforholdene." xr:uid="{00000000-0004-0000-0100-000002000000}"/>
    <hyperlink ref="C36:D36" location="Projektforudsætninger!C36" tooltip="Beskriv kort tilgængelig viden og henvis evt. til relevante dokumenter." display="Beskriv kort tilgængelig viden og henvis evt. til relevante dokumenter." xr:uid="{00000000-0004-0000-0100-000003000000}"/>
    <hyperlink ref="C39:D39" location="Projektforudsætninger!C39" tooltip="Angiv minimum rumhøjde i meter." display="Angiv minimum rumhøjde i meter." xr:uid="{00000000-0004-0000-0100-000004000000}"/>
    <hyperlink ref="C45:D45" location="Projektforudsætninger!C45" tooltip="Beskriv, hvilke krav der stilles til brandsikkerhed, udover de myndighedskrav, der er stillet til projektet. Eksempler er: forøgelse af bredde på flugtvej; etablering af panikbelysning; etablering af sprinkleranlæg etc." display="Projektforudsætninger!C45" xr:uid="{00000000-0004-0000-0100-000005000000}"/>
    <hyperlink ref="C46:D46" location="Projektforudsætninger!C46" tooltip="Beskriv hvem der skal sikre systematisk idriftsættelse f.eks. bygherres drift/vicevært, bygherrerådgiver, rådgiveren eller entreprenøren). Der kan godt være forskellige interessenter ved aflevering og i driftsfasen." display="Beskriv hvem der skal sikre systematisk idriftsættelse f.eks. bygherres drift/vicevært, bygherrerådgiver, rådgiveren eller entreprenøren). Der kan godt være forskellige interessenter ved aflevering og i driftsfasen." xr:uid="{00000000-0004-0000-0100-000006000000}"/>
    <hyperlink ref="A46:B46" location="Projektforudsætninger!A46" tooltip="Begrebet dækker over den proces, der anvendes til at granske projektets ressourceforbrugende systemer i idé- og programmeringsfasen, projekteringsfasen, udførelsesfasen, idriftsættelsesfasen og driftsfasen." display="Hvilke interessenter skal sikre systematisk idriftsættelse og eventuel opfølgning i driftsfasen?" xr:uid="{00000000-0004-0000-0100-000007000000}"/>
    <hyperlink ref="A47:B47" location="Projektforudsætninger!A47" tooltip="Re-commissioning er en udvidelse af en commissioning proces, hvor forbruget i bygningen løbende overvåges over en længere periode - 14 måneder, så forbruget overvåges gennem skiftende årstider." display="Skal der ske opfølgning på de idriftsatte installationer i det første år af byggeriets drift ('re-commissioning') og hvem skal være ansvarlig for denne opfølgning?" xr:uid="{00000000-0004-0000-0100-000008000000}"/>
    <hyperlink ref="D50" location="Projektforudsætninger!D50" tooltip="Hvis ja, beskriv særlige forebyggende foranstaltninger, som skal indarbejdes i projektet (eks. Hævet kote for byggeriets nederste etage, pumper el.lign)" display="Hvis ja, beskriv særlige forebyggende foranstaltninger, som skal indarbejdes i projektet (eks. Hævet kote for byggeriets nederste etage, pumper el.lign)" xr:uid="{00000000-0004-0000-0100-000009000000}"/>
    <hyperlink ref="D51" location="Projektforudsætninger!D51" tooltip="Angiv de specifikke data eller henvis til bilag med oplysninger." display="Angiv de specifikke data eller henvis til bilag med oplysninger." xr:uid="{00000000-0004-0000-0100-00000A000000}"/>
    <hyperlink ref="D52" location="Projektforudsætninger!D52" tooltip="Hvis ja, vedlægges støjkort. Beskriv særlige funktioner i byggeriet, der er følsomme overfor de registrerede støjniveauer." display="Hvis ja, vedlægges støjkort. Beskriv særlige funktioner i byggeriet, der er følsomme overfor de registrerede støjniveauer." xr:uid="{00000000-0004-0000-0100-00000B000000}"/>
    <hyperlink ref="D53" location="Projektforudsætninger!D53" tooltip="Beskriv, hvis de valgte rådgivere forventes at indarbejde særlige tiltag til radonsikring i projektet." display="Beskriv, hvis de valgte rådgivere forventes at indarbejde særlige tiltag til radonsikring i projektet." xr:uid="{00000000-0004-0000-0100-00000C000000}"/>
    <hyperlink ref="D54" location="Projektforudsætninger!D54" tooltip="Hvis ja, beskriv hvilke immissionsværdier, der er oplyst for hhv. elektromagnetiske felter eller højspænding." display="Hvis ja, beskriv hvilke immissionsværdier, der er oplyst for hhv. elektromagnetiske felter eller højspænding." xr:uid="{00000000-0004-0000-0100-00000D000000}"/>
    <hyperlink ref="D55" location="Projektforudsætninger!D55" tooltip="Beskriv evt. kriminalpræventive tiltag, der skal indarbejdes i projektet." display="Beskriv evt. kriminalpræventive tiltag, der skal indarbejdes i projektet." xr:uid="{00000000-0004-0000-0100-00000E000000}"/>
    <hyperlink ref="D58" location="Projektforudsætninger!D58" tooltip="Hvis ja, beskriv hvilke funktioner (eks. Bibliotek, spisested, butik, børnepasning, sundhedsfaciliteter, sportsfaciliteter)" display="Hvis ja, beskriv hvilke funktioner (eks. Bibliotek, spisested, butik, børnepasning, sundhedsfaciliteter, sportsfaciliteter)" xr:uid="{00000000-0004-0000-0100-00000F000000}"/>
    <hyperlink ref="C56:D56" location="Projektforudsætninger!C56" tooltip="Beskriv krav. Eks. antal og placering af almindelig parkeringspladser, handikapparkering og cykelparkering." display="Beskriv krav. Eks. antal og placering af almindelig parkeringspladser, handikapparkering og cykelparkering." xr:uid="{00000000-0004-0000-0100-000010000000}"/>
    <hyperlink ref="C57:D57" location="Projektforudsætninger!C57" tooltip="Beskriv krav. Eks. Ladestandere til elbiler, afsætningsområde (kiss'n'ride) etc." display="Beskriv krav. Eks. Ladestandere til elbiler, afsætningsområde (kiss'n'ride) etc." xr:uid="{00000000-0004-0000-0100-000011000000}"/>
  </hyperlinks>
  <pageMargins left="0.7" right="0.7" top="0.75" bottom="0.75" header="0.3" footer="0.3"/>
  <pageSetup paperSize="9" scale="99" fitToHeight="0" orientation="portrait" r:id="rId1"/>
  <headerFooter>
    <oddHeader>&amp;C&amp;A</oddHeader>
  </headerFooter>
  <extLst>
    <ext xmlns:x14="http://schemas.microsoft.com/office/spreadsheetml/2009/9/main" uri="{CCE6A557-97BC-4b89-ADB6-D9C93CAAB3DF}">
      <x14:dataValidations xmlns:xm="http://schemas.microsoft.com/office/excel/2006/main" xWindow="1020" yWindow="619" count="1">
        <x14:dataValidation type="list" allowBlank="1" showInputMessage="1" showErrorMessage="1" xr:uid="{00000000-0002-0000-0100-000009000000}">
          <x14:formula1>
            <xm:f>Arbejdsark!$L$600:$L$605</xm:f>
          </x14:formula1>
          <xm:sqref>C53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tabColor rgb="FF92D050"/>
  </sheetPr>
  <dimension ref="A1:H88"/>
  <sheetViews>
    <sheetView view="pageLayout" zoomScale="80" zoomScaleNormal="150" zoomScalePageLayoutView="80" workbookViewId="0">
      <selection activeCell="C7" sqref="C7"/>
    </sheetView>
  </sheetViews>
  <sheetFormatPr defaultColWidth="16.265625" defaultRowHeight="13.15" x14ac:dyDescent="0.45"/>
  <cols>
    <col min="1" max="1" width="16.3984375" style="566" customWidth="1"/>
    <col min="2" max="2" width="21.265625" style="566" customWidth="1"/>
    <col min="3" max="3" width="14.73046875" style="83" customWidth="1"/>
    <col min="4" max="4" width="15.3984375" style="83" customWidth="1"/>
    <col min="5" max="5" width="17.73046875" style="83" customWidth="1"/>
    <col min="6" max="6" width="34.73046875" style="83" customWidth="1"/>
    <col min="7" max="7" width="16.265625" style="83"/>
    <col min="8" max="8" width="16.265625" style="83" customWidth="1"/>
    <col min="9" max="16384" width="16.265625" style="83"/>
  </cols>
  <sheetData>
    <row r="1" spans="1:8" x14ac:dyDescent="0.45">
      <c r="A1" s="85" t="s">
        <v>8</v>
      </c>
      <c r="B1" s="85"/>
    </row>
    <row r="3" spans="1:8" x14ac:dyDescent="0.45">
      <c r="A3" s="778" t="s">
        <v>116</v>
      </c>
      <c r="B3" s="778"/>
    </row>
    <row r="4" spans="1:8" ht="29.65" customHeight="1" x14ac:dyDescent="0.45">
      <c r="A4" s="776" t="s">
        <v>117</v>
      </c>
      <c r="B4" s="776"/>
      <c r="C4" s="776"/>
      <c r="D4" s="776"/>
      <c r="E4" s="776"/>
      <c r="F4" s="105"/>
      <c r="G4" s="106"/>
    </row>
    <row r="5" spans="1:8" ht="23.25" x14ac:dyDescent="0.45">
      <c r="A5" s="107" t="s">
        <v>118</v>
      </c>
      <c r="B5" s="108" t="s">
        <v>119</v>
      </c>
      <c r="C5" s="109" t="s">
        <v>120</v>
      </c>
      <c r="D5" s="109" t="s">
        <v>121</v>
      </c>
      <c r="E5" s="110" t="str">
        <f>IF(Projektforudsætninger!B14="Ja","Temaets vægtning i boligorganisation","")</f>
        <v/>
      </c>
      <c r="F5" s="97"/>
      <c r="G5" s="97"/>
      <c r="H5" s="106"/>
    </row>
    <row r="6" spans="1:8" ht="106.5" customHeight="1" x14ac:dyDescent="0.45">
      <c r="A6" s="111" t="str">
        <f>Arbejdsark!A4</f>
        <v>Materialer</v>
      </c>
      <c r="B6" s="112" t="s">
        <v>122</v>
      </c>
      <c r="C6" s="100" t="s">
        <v>36</v>
      </c>
      <c r="D6" s="113">
        <f>SUM(Arbejdsark!E4:E20)</f>
        <v>0.11180769230769233</v>
      </c>
      <c r="E6" s="101">
        <v>0.05</v>
      </c>
      <c r="F6" s="106"/>
      <c r="G6" s="106"/>
    </row>
    <row r="7" spans="1:8" ht="42" x14ac:dyDescent="0.45">
      <c r="A7" s="111" t="str">
        <f>Arbejdsark!A25</f>
        <v>Energi</v>
      </c>
      <c r="B7" s="112" t="s">
        <v>123</v>
      </c>
      <c r="C7" s="100" t="s">
        <v>36</v>
      </c>
      <c r="D7" s="113">
        <f>SUM(Arbejdsark!E25:E30)</f>
        <v>8.5500000000000007E-2</v>
      </c>
      <c r="E7" s="101">
        <v>0.05</v>
      </c>
      <c r="F7" s="106"/>
      <c r="G7" s="106"/>
    </row>
    <row r="8" spans="1:8" ht="58.5" customHeight="1" x14ac:dyDescent="0.45">
      <c r="A8" s="111" t="str">
        <f>Arbejdsark!A35</f>
        <v>Vand</v>
      </c>
      <c r="B8" s="112" t="s">
        <v>124</v>
      </c>
      <c r="C8" s="100" t="s">
        <v>36</v>
      </c>
      <c r="D8" s="113">
        <f>SUM(Arbejdsark!E35:E45)</f>
        <v>2.2500000000000003E-2</v>
      </c>
      <c r="E8" s="101">
        <v>0.05</v>
      </c>
      <c r="F8" s="106"/>
      <c r="G8" s="106"/>
    </row>
    <row r="9" spans="1:8" ht="46.5" customHeight="1" x14ac:dyDescent="0.45">
      <c r="A9" s="111" t="str">
        <f>Arbejdsark!A51</f>
        <v>Beplantning</v>
      </c>
      <c r="B9" s="112" t="s">
        <v>125</v>
      </c>
      <c r="C9" s="100" t="s">
        <v>36</v>
      </c>
      <c r="D9" s="113">
        <f>SUM(Arbejdsark!E51:E68)</f>
        <v>6.3780120481927716E-3</v>
      </c>
      <c r="E9" s="101">
        <v>0.05</v>
      </c>
      <c r="F9" s="106"/>
      <c r="G9" s="106"/>
    </row>
    <row r="10" spans="1:8" ht="25.5" customHeight="1" x14ac:dyDescent="0.45">
      <c r="A10" s="111" t="str">
        <f>IF(Projektforudsætninger!C37=Projektforudsætninger!H7,Arbejdsark!$A$73,"")</f>
        <v/>
      </c>
      <c r="B10" s="112" t="str">
        <f>IF(Projektforudsætninger!C37=Projektforudsætninger!H7,"Temaet omhandler projektets bebyggelsesprocent.","")</f>
        <v/>
      </c>
      <c r="C10" s="100" t="s">
        <v>36</v>
      </c>
      <c r="D10" s="113" t="str">
        <f>IF(Projektforudsætninger!C37=Projektforudsætninger!H7,SUM(Arbejdsark!E73),"")</f>
        <v/>
      </c>
      <c r="E10" s="101">
        <v>0.05</v>
      </c>
      <c r="F10" s="106"/>
      <c r="G10" s="106"/>
    </row>
    <row r="11" spans="1:8" ht="64.5" customHeight="1" x14ac:dyDescent="0.45">
      <c r="A11" s="111" t="str">
        <f>Arbejdsark!A78</f>
        <v>Forurening</v>
      </c>
      <c r="B11" s="112" t="s">
        <v>126</v>
      </c>
      <c r="C11" s="100" t="s">
        <v>36</v>
      </c>
      <c r="D11" s="113">
        <f>SUM(Arbejdsark!E78:E84)</f>
        <v>1.4625000000000003E-2</v>
      </c>
      <c r="E11" s="101">
        <v>0.05</v>
      </c>
      <c r="F11" s="106"/>
      <c r="G11" s="106"/>
    </row>
    <row r="12" spans="1:8" ht="31.5" x14ac:dyDescent="0.45">
      <c r="A12" s="114" t="str">
        <f>Arbejdsark!A91</f>
        <v>Levetidsomkostninger</v>
      </c>
      <c r="B12" s="115" t="s">
        <v>127</v>
      </c>
      <c r="C12" s="100" t="s">
        <v>36</v>
      </c>
      <c r="D12" s="116">
        <f>SUM(Arbejdsark!E91:E109)</f>
        <v>0.1108695652173913</v>
      </c>
      <c r="E12" s="101">
        <v>0.05</v>
      </c>
      <c r="F12" s="106"/>
      <c r="G12" s="106"/>
    </row>
    <row r="13" spans="1:8" ht="42" x14ac:dyDescent="0.45">
      <c r="A13" s="114" t="str">
        <f>Arbejdsark!A114</f>
        <v>Fleksibilitet</v>
      </c>
      <c r="B13" s="115" t="s">
        <v>128</v>
      </c>
      <c r="C13" s="100" t="s">
        <v>36</v>
      </c>
      <c r="D13" s="116">
        <f>SUM(Arbejdsark!E114:E149)</f>
        <v>7.493729096989965E-2</v>
      </c>
      <c r="E13" s="101">
        <v>0.05</v>
      </c>
      <c r="F13" s="117"/>
      <c r="G13" s="117"/>
    </row>
    <row r="14" spans="1:8" ht="31.5" x14ac:dyDescent="0.45">
      <c r="A14" s="114" t="str">
        <f>Arbejdsark!A154</f>
        <v>Robusthed</v>
      </c>
      <c r="B14" s="115" t="s">
        <v>129</v>
      </c>
      <c r="C14" s="100" t="s">
        <v>36</v>
      </c>
      <c r="D14" s="116">
        <f>SUM(Arbejdsark!E154:E163)</f>
        <v>1.5754321634363543E-2</v>
      </c>
      <c r="E14" s="101">
        <v>0.05</v>
      </c>
      <c r="F14" s="106"/>
      <c r="G14" s="106"/>
    </row>
    <row r="15" spans="1:8" ht="42" x14ac:dyDescent="0.45">
      <c r="A15" s="118" t="str">
        <f>Arbejdsark!A167</f>
        <v>Indeklima</v>
      </c>
      <c r="B15" s="119" t="s">
        <v>130</v>
      </c>
      <c r="C15" s="100" t="s">
        <v>36</v>
      </c>
      <c r="D15" s="120">
        <f>SUM(Arbejdsark!E167:E212)</f>
        <v>0.1340129749768304</v>
      </c>
      <c r="E15" s="101">
        <v>0.05</v>
      </c>
      <c r="F15" s="106"/>
      <c r="G15" s="106"/>
    </row>
    <row r="16" spans="1:8" ht="31.5" x14ac:dyDescent="0.45">
      <c r="A16" s="118" t="str">
        <f>Arbejdsark!A217</f>
        <v>Brugerstyring</v>
      </c>
      <c r="B16" s="119" t="s">
        <v>131</v>
      </c>
      <c r="C16" s="100" t="s">
        <v>36</v>
      </c>
      <c r="D16" s="120">
        <f>SUM(Arbejdsark!E217:E232)</f>
        <v>1.8072289156626505E-2</v>
      </c>
      <c r="E16" s="101">
        <v>0.05</v>
      </c>
      <c r="F16" s="106"/>
      <c r="G16" s="106"/>
    </row>
    <row r="17" spans="1:7" ht="31.5" x14ac:dyDescent="0.45">
      <c r="A17" s="118" t="str">
        <f>Arbejdsark!A234</f>
        <v>Tilgængelighed</v>
      </c>
      <c r="B17" s="119" t="s">
        <v>132</v>
      </c>
      <c r="C17" s="100" t="s">
        <v>36</v>
      </c>
      <c r="D17" s="120">
        <f>SUM(Arbejdsark!E234:E238)</f>
        <v>1.355421686746988E-2</v>
      </c>
      <c r="E17" s="101">
        <v>0.05</v>
      </c>
      <c r="F17" s="106"/>
      <c r="G17" s="106"/>
    </row>
    <row r="18" spans="1:7" ht="21" x14ac:dyDescent="0.45">
      <c r="A18" s="118" t="str">
        <f>Arbejdsark!A239</f>
        <v>Udearealer</v>
      </c>
      <c r="B18" s="119" t="s">
        <v>133</v>
      </c>
      <c r="C18" s="100" t="s">
        <v>36</v>
      </c>
      <c r="D18" s="120">
        <f>SUM(Arbejdsark!E239:E244)</f>
        <v>1.0301204819277109E-2</v>
      </c>
      <c r="E18" s="101">
        <v>0.05</v>
      </c>
      <c r="F18" s="106"/>
      <c r="G18" s="106"/>
    </row>
    <row r="19" spans="1:7" ht="42" x14ac:dyDescent="0.45">
      <c r="A19" s="118" t="str">
        <f>Arbejdsark!A250</f>
        <v>Cyklister</v>
      </c>
      <c r="B19" s="119" t="s">
        <v>134</v>
      </c>
      <c r="C19" s="100" t="s">
        <v>36</v>
      </c>
      <c r="D19" s="120">
        <f>SUM(Arbejdsark!E250:E264)</f>
        <v>9.0361445783132526E-3</v>
      </c>
      <c r="E19" s="101">
        <v>0.05</v>
      </c>
      <c r="F19" s="106"/>
      <c r="G19" s="106"/>
    </row>
    <row r="20" spans="1:7" ht="42" x14ac:dyDescent="0.45">
      <c r="A20" s="118" t="str">
        <f>Arbejdsark!A265</f>
        <v>Tryghed og sikkerhed</v>
      </c>
      <c r="B20" s="119" t="s">
        <v>135</v>
      </c>
      <c r="C20" s="100" t="s">
        <v>36</v>
      </c>
      <c r="D20" s="120">
        <f>SUM(Arbejdsark!E265:E278)</f>
        <v>1.1190917516218722E-2</v>
      </c>
      <c r="E20" s="101">
        <v>0.05</v>
      </c>
      <c r="F20" s="104"/>
      <c r="G20" s="106"/>
    </row>
    <row r="21" spans="1:7" ht="31.5" x14ac:dyDescent="0.45">
      <c r="A21" s="118" t="str">
        <f>Arbejdsark!A279</f>
        <v>Arkitektonisk kvalitet</v>
      </c>
      <c r="B21" s="119" t="s">
        <v>136</v>
      </c>
      <c r="C21" s="100" t="s">
        <v>36</v>
      </c>
      <c r="D21" s="120">
        <f>SUM(Arbejdsark!E279:E294)</f>
        <v>5.9638554216867479E-2</v>
      </c>
      <c r="E21" s="101">
        <v>0.05</v>
      </c>
      <c r="F21" s="104"/>
      <c r="G21" s="106"/>
    </row>
    <row r="22" spans="1:7" ht="31.5" x14ac:dyDescent="0.45">
      <c r="A22" s="118" t="str">
        <f>Arbejdsark!A300</f>
        <v>Plandisponering</v>
      </c>
      <c r="B22" s="119" t="s">
        <v>137</v>
      </c>
      <c r="C22" s="100" t="s">
        <v>36</v>
      </c>
      <c r="D22" s="120">
        <f>SUM(Arbejdsark!E300:E371)</f>
        <v>1.7981927710843375E-2</v>
      </c>
      <c r="E22" s="101">
        <v>0.05</v>
      </c>
      <c r="F22" s="104"/>
      <c r="G22" s="106"/>
    </row>
    <row r="23" spans="1:7" ht="31.5" x14ac:dyDescent="0.45">
      <c r="A23" s="121" t="str">
        <f>Arbejdsark!A378</f>
        <v>Personsikkerhed</v>
      </c>
      <c r="B23" s="122" t="s">
        <v>138</v>
      </c>
      <c r="C23" s="100" t="s">
        <v>36</v>
      </c>
      <c r="D23" s="123">
        <f>SUM(Arbejdsark!E378)</f>
        <v>2.8846153846153848E-2</v>
      </c>
      <c r="E23" s="101">
        <v>0.05</v>
      </c>
      <c r="F23" s="104"/>
      <c r="G23" s="106"/>
    </row>
    <row r="24" spans="1:7" ht="42" x14ac:dyDescent="0.45">
      <c r="A24" s="121" t="str">
        <f>Arbejdsark!A388</f>
        <v>Klimaskærmens kvalitet</v>
      </c>
      <c r="B24" s="122" t="s">
        <v>139</v>
      </c>
      <c r="C24" s="100" t="s">
        <v>36</v>
      </c>
      <c r="D24" s="123">
        <f>SUM(Arbejdsark!E388:E418)</f>
        <v>3.9807692307692301E-2</v>
      </c>
      <c r="E24" s="101">
        <v>0.05</v>
      </c>
      <c r="F24" s="104"/>
      <c r="G24" s="106"/>
    </row>
    <row r="25" spans="1:7" ht="31.5" x14ac:dyDescent="0.45">
      <c r="A25" s="121" t="str">
        <f>Arbejdsark!A424</f>
        <v>Renhold og vedligehold</v>
      </c>
      <c r="B25" s="122" t="s">
        <v>140</v>
      </c>
      <c r="C25" s="100" t="s">
        <v>36</v>
      </c>
      <c r="D25" s="123">
        <f>SUM(Arbejdsark!E424:E449)</f>
        <v>3.4615384615384617E-2</v>
      </c>
      <c r="E25" s="101">
        <v>0.05</v>
      </c>
      <c r="F25" s="104"/>
      <c r="G25" s="106"/>
    </row>
    <row r="26" spans="1:7" ht="42" x14ac:dyDescent="0.45">
      <c r="A26" s="124" t="str">
        <f>Arbejdsark!A462</f>
        <v>Byggeprogram</v>
      </c>
      <c r="B26" s="125" t="s">
        <v>141</v>
      </c>
      <c r="C26" s="100" t="s">
        <v>36</v>
      </c>
      <c r="D26" s="126">
        <f>SUM(Arbejdsark!E462)</f>
        <v>1.1666666666666665E-2</v>
      </c>
      <c r="E26" s="101">
        <v>0.05</v>
      </c>
      <c r="F26" s="104"/>
      <c r="G26" s="106"/>
    </row>
    <row r="27" spans="1:7" ht="42" x14ac:dyDescent="0.45">
      <c r="A27" s="124" t="str">
        <f>Arbejdsark!A467</f>
        <v>Integreret designproces</v>
      </c>
      <c r="B27" s="125" t="s">
        <v>142</v>
      </c>
      <c r="C27" s="100" t="s">
        <v>36</v>
      </c>
      <c r="D27" s="126">
        <f>SUM(Arbejdsark!E467:E487)</f>
        <v>2.1666666666666667E-2</v>
      </c>
      <c r="E27" s="101">
        <v>0.05</v>
      </c>
      <c r="F27" s="104"/>
      <c r="G27" s="106"/>
    </row>
    <row r="28" spans="1:7" ht="42" x14ac:dyDescent="0.45">
      <c r="A28" s="124" t="str">
        <f>Arbejdsark!A492</f>
        <v>Koncepter</v>
      </c>
      <c r="B28" s="125" t="s">
        <v>143</v>
      </c>
      <c r="C28" s="100" t="s">
        <v>36</v>
      </c>
      <c r="D28" s="126">
        <f>SUM(Arbejdsark!E492:E496)</f>
        <v>3.6231884057971009E-2</v>
      </c>
      <c r="E28" s="101">
        <v>0.05</v>
      </c>
      <c r="F28" s="104"/>
      <c r="G28" s="106"/>
    </row>
    <row r="29" spans="1:7" ht="42" x14ac:dyDescent="0.45">
      <c r="A29" s="124" t="str">
        <f>Arbejdsark!A497</f>
        <v>Entrepriseudbud</v>
      </c>
      <c r="B29" s="125" t="s">
        <v>144</v>
      </c>
      <c r="C29" s="100" t="s">
        <v>36</v>
      </c>
      <c r="D29" s="126">
        <f>SUM(Arbejdsark!E497:E501)</f>
        <v>1.1111111111111112E-2</v>
      </c>
      <c r="E29" s="101">
        <v>0.05</v>
      </c>
      <c r="F29" s="104"/>
      <c r="G29" s="106"/>
    </row>
    <row r="30" spans="1:7" ht="31.5" x14ac:dyDescent="0.45">
      <c r="A30" s="124" t="str">
        <f>Arbejdsark!A502</f>
        <v>Kvalitet af aflevering til driftspersonale</v>
      </c>
      <c r="B30" s="125" t="s">
        <v>145</v>
      </c>
      <c r="C30" s="100" t="s">
        <v>36</v>
      </c>
      <c r="D30" s="126">
        <f>SUM(Arbejdsark!E502:E512)</f>
        <v>1.1111111111111112E-2</v>
      </c>
      <c r="E30" s="101">
        <v>0.05</v>
      </c>
      <c r="F30" s="104"/>
      <c r="G30" s="106"/>
    </row>
    <row r="31" spans="1:7" ht="94.5" x14ac:dyDescent="0.45">
      <c r="A31" s="124" t="str">
        <f>Arbejdsark!A517</f>
        <v>Byggeplads</v>
      </c>
      <c r="B31" s="125" t="s">
        <v>146</v>
      </c>
      <c r="C31" s="100" t="s">
        <v>36</v>
      </c>
      <c r="D31" s="126">
        <f>SUM(Arbejdsark!E517:E542)</f>
        <v>0.01</v>
      </c>
      <c r="E31" s="101">
        <v>0.05</v>
      </c>
      <c r="F31" s="104"/>
      <c r="G31" s="106"/>
    </row>
    <row r="32" spans="1:7" ht="73.5" x14ac:dyDescent="0.45">
      <c r="A32" s="124" t="str">
        <f>Arbejdsark!A548</f>
        <v>Eftervisende dokumentation</v>
      </c>
      <c r="B32" s="125" t="s">
        <v>147</v>
      </c>
      <c r="C32" s="100" t="s">
        <v>36</v>
      </c>
      <c r="D32" s="126">
        <f>SUM(Arbejdsark!E548:E563)</f>
        <v>1.4166666666666668E-2</v>
      </c>
      <c r="E32" s="101">
        <v>0.05</v>
      </c>
      <c r="F32" s="104"/>
      <c r="G32" s="106"/>
    </row>
    <row r="33" spans="1:7" ht="42" x14ac:dyDescent="0.45">
      <c r="A33" s="127" t="str">
        <f>Arbejdsark!A455</f>
        <v>Idriftsættelse</v>
      </c>
      <c r="B33" s="128" t="s">
        <v>148</v>
      </c>
      <c r="C33" s="100" t="s">
        <v>36</v>
      </c>
      <c r="D33" s="129">
        <f>SUM(Arbejdsark!E455)</f>
        <v>3.4615384615384617E-2</v>
      </c>
      <c r="E33" s="102">
        <v>0.05</v>
      </c>
      <c r="F33" s="104"/>
      <c r="G33" s="106"/>
    </row>
    <row r="34" spans="1:7" x14ac:dyDescent="0.45">
      <c r="A34" s="83"/>
      <c r="B34" s="83"/>
      <c r="E34" s="130"/>
    </row>
    <row r="35" spans="1:7" x14ac:dyDescent="0.45">
      <c r="A35" s="83"/>
      <c r="B35" s="83"/>
      <c r="E35" s="130"/>
    </row>
    <row r="36" spans="1:7" x14ac:dyDescent="0.45">
      <c r="A36" s="83"/>
      <c r="B36" s="83"/>
      <c r="D36" s="131"/>
      <c r="E36" s="130"/>
    </row>
    <row r="37" spans="1:7" x14ac:dyDescent="0.45">
      <c r="A37" s="83"/>
      <c r="B37" s="83"/>
    </row>
    <row r="38" spans="1:7" x14ac:dyDescent="0.45">
      <c r="A38" s="83"/>
      <c r="B38" s="83"/>
    </row>
    <row r="39" spans="1:7" x14ac:dyDescent="0.45">
      <c r="A39" s="83"/>
      <c r="B39" s="83"/>
    </row>
    <row r="40" spans="1:7" x14ac:dyDescent="0.45">
      <c r="A40" s="83"/>
      <c r="B40" s="83"/>
    </row>
    <row r="41" spans="1:7" x14ac:dyDescent="0.45">
      <c r="A41" s="83"/>
      <c r="B41" s="83"/>
    </row>
    <row r="42" spans="1:7" x14ac:dyDescent="0.45">
      <c r="A42" s="83"/>
      <c r="B42" s="83"/>
    </row>
    <row r="43" spans="1:7" x14ac:dyDescent="0.45">
      <c r="A43" s="132"/>
      <c r="B43" s="132"/>
      <c r="C43" s="132"/>
      <c r="D43" s="132"/>
    </row>
    <row r="44" spans="1:7" x14ac:dyDescent="0.45">
      <c r="A44" s="83"/>
      <c r="B44" s="83"/>
    </row>
    <row r="45" spans="1:7" x14ac:dyDescent="0.45">
      <c r="A45" s="83"/>
      <c r="B45" s="83"/>
    </row>
    <row r="46" spans="1:7" x14ac:dyDescent="0.45">
      <c r="A46" s="83"/>
      <c r="B46" s="83"/>
    </row>
    <row r="47" spans="1:7" x14ac:dyDescent="0.45">
      <c r="A47" s="83"/>
      <c r="B47" s="83"/>
    </row>
    <row r="48" spans="1:7" x14ac:dyDescent="0.45">
      <c r="A48" s="83"/>
      <c r="B48" s="83"/>
    </row>
    <row r="49" spans="1:2" x14ac:dyDescent="0.45">
      <c r="A49" s="83"/>
      <c r="B49" s="83"/>
    </row>
    <row r="50" spans="1:2" x14ac:dyDescent="0.45">
      <c r="A50" s="83"/>
      <c r="B50" s="83"/>
    </row>
    <row r="51" spans="1:2" x14ac:dyDescent="0.45">
      <c r="A51" s="83"/>
      <c r="B51" s="83"/>
    </row>
    <row r="52" spans="1:2" x14ac:dyDescent="0.45">
      <c r="A52" s="83"/>
      <c r="B52" s="83"/>
    </row>
    <row r="53" spans="1:2" x14ac:dyDescent="0.45">
      <c r="A53" s="83"/>
      <c r="B53" s="83"/>
    </row>
    <row r="54" spans="1:2" x14ac:dyDescent="0.45">
      <c r="A54" s="83"/>
      <c r="B54" s="83"/>
    </row>
    <row r="55" spans="1:2" x14ac:dyDescent="0.45">
      <c r="A55" s="83"/>
      <c r="B55" s="83"/>
    </row>
    <row r="56" spans="1:2" x14ac:dyDescent="0.45">
      <c r="A56" s="83"/>
      <c r="B56" s="83"/>
    </row>
    <row r="57" spans="1:2" x14ac:dyDescent="0.45">
      <c r="A57" s="83"/>
      <c r="B57" s="83"/>
    </row>
    <row r="58" spans="1:2" x14ac:dyDescent="0.45">
      <c r="A58" s="83"/>
      <c r="B58" s="83"/>
    </row>
    <row r="59" spans="1:2" x14ac:dyDescent="0.45">
      <c r="A59" s="83"/>
      <c r="B59" s="83"/>
    </row>
    <row r="60" spans="1:2" x14ac:dyDescent="0.45">
      <c r="A60" s="83"/>
      <c r="B60" s="83"/>
    </row>
    <row r="61" spans="1:2" x14ac:dyDescent="0.45">
      <c r="A61" s="83"/>
      <c r="B61" s="83"/>
    </row>
    <row r="62" spans="1:2" x14ac:dyDescent="0.45">
      <c r="A62" s="83"/>
      <c r="B62" s="83"/>
    </row>
    <row r="63" spans="1:2" x14ac:dyDescent="0.45">
      <c r="A63" s="83"/>
      <c r="B63" s="83"/>
    </row>
    <row r="64" spans="1:2" x14ac:dyDescent="0.45">
      <c r="A64" s="83"/>
      <c r="B64" s="83"/>
    </row>
    <row r="65" spans="1:4" x14ac:dyDescent="0.45">
      <c r="A65" s="83"/>
      <c r="B65" s="83"/>
    </row>
    <row r="66" spans="1:4" x14ac:dyDescent="0.45">
      <c r="A66" s="83"/>
      <c r="B66" s="83"/>
    </row>
    <row r="67" spans="1:4" x14ac:dyDescent="0.45">
      <c r="A67" s="568"/>
      <c r="B67" s="568"/>
      <c r="C67" s="103"/>
      <c r="D67" s="103"/>
    </row>
    <row r="68" spans="1:4" x14ac:dyDescent="0.45">
      <c r="A68" s="568"/>
      <c r="B68" s="568"/>
      <c r="C68" s="103"/>
      <c r="D68" s="103"/>
    </row>
    <row r="69" spans="1:4" x14ac:dyDescent="0.45">
      <c r="A69" s="568"/>
      <c r="B69" s="568"/>
      <c r="C69" s="103"/>
      <c r="D69" s="103"/>
    </row>
    <row r="70" spans="1:4" x14ac:dyDescent="0.45">
      <c r="A70" s="568"/>
      <c r="B70" s="568"/>
      <c r="C70" s="103"/>
      <c r="D70" s="103"/>
    </row>
    <row r="71" spans="1:4" x14ac:dyDescent="0.45">
      <c r="A71" s="568"/>
      <c r="B71" s="568"/>
      <c r="C71" s="103"/>
      <c r="D71" s="103"/>
    </row>
    <row r="72" spans="1:4" x14ac:dyDescent="0.45">
      <c r="A72" s="568"/>
      <c r="B72" s="568"/>
      <c r="C72" s="103"/>
      <c r="D72" s="103"/>
    </row>
    <row r="73" spans="1:4" x14ac:dyDescent="0.45">
      <c r="A73" s="568"/>
      <c r="B73" s="568"/>
      <c r="C73" s="103"/>
      <c r="D73" s="103"/>
    </row>
    <row r="74" spans="1:4" x14ac:dyDescent="0.45">
      <c r="A74" s="568"/>
      <c r="B74" s="568"/>
      <c r="C74" s="103"/>
      <c r="D74" s="103"/>
    </row>
    <row r="75" spans="1:4" x14ac:dyDescent="0.45">
      <c r="A75" s="568"/>
      <c r="B75" s="568"/>
      <c r="C75" s="103"/>
      <c r="D75" s="103"/>
    </row>
    <row r="76" spans="1:4" x14ac:dyDescent="0.45">
      <c r="A76" s="568"/>
      <c r="B76" s="568"/>
      <c r="C76" s="103"/>
      <c r="D76" s="103"/>
    </row>
    <row r="77" spans="1:4" x14ac:dyDescent="0.45">
      <c r="A77" s="568"/>
      <c r="B77" s="568"/>
      <c r="C77" s="103"/>
      <c r="D77" s="103"/>
    </row>
    <row r="78" spans="1:4" x14ac:dyDescent="0.45">
      <c r="A78" s="568"/>
      <c r="B78" s="568"/>
      <c r="C78" s="103"/>
      <c r="D78" s="103"/>
    </row>
    <row r="79" spans="1:4" x14ac:dyDescent="0.45">
      <c r="A79" s="568"/>
      <c r="B79" s="568"/>
      <c r="C79" s="103"/>
      <c r="D79" s="103"/>
    </row>
    <row r="80" spans="1:4" x14ac:dyDescent="0.45">
      <c r="A80" s="568"/>
      <c r="B80" s="568"/>
      <c r="C80" s="103"/>
      <c r="D80" s="103"/>
    </row>
    <row r="81" spans="1:4" x14ac:dyDescent="0.45">
      <c r="A81" s="568"/>
      <c r="B81" s="568"/>
      <c r="C81" s="103"/>
      <c r="D81" s="103"/>
    </row>
    <row r="82" spans="1:4" x14ac:dyDescent="0.45">
      <c r="A82" s="568"/>
      <c r="B82" s="568"/>
      <c r="C82" s="103"/>
      <c r="D82" s="103"/>
    </row>
    <row r="83" spans="1:4" x14ac:dyDescent="0.45">
      <c r="A83" s="568"/>
      <c r="B83" s="568"/>
      <c r="C83" s="103"/>
      <c r="D83" s="103"/>
    </row>
    <row r="84" spans="1:4" x14ac:dyDescent="0.45">
      <c r="A84" s="568"/>
      <c r="B84" s="568"/>
      <c r="C84" s="103"/>
      <c r="D84" s="103"/>
    </row>
    <row r="85" spans="1:4" x14ac:dyDescent="0.45">
      <c r="A85" s="568"/>
      <c r="B85" s="568"/>
      <c r="C85" s="103"/>
      <c r="D85" s="103"/>
    </row>
    <row r="86" spans="1:4" x14ac:dyDescent="0.45">
      <c r="A86" s="568"/>
      <c r="B86" s="568"/>
      <c r="C86" s="103"/>
      <c r="D86" s="103"/>
    </row>
    <row r="87" spans="1:4" x14ac:dyDescent="0.45">
      <c r="A87" s="568"/>
      <c r="B87" s="568"/>
      <c r="C87" s="103"/>
      <c r="D87" s="103"/>
    </row>
    <row r="88" spans="1:4" x14ac:dyDescent="0.45">
      <c r="A88" s="568"/>
      <c r="B88" s="568"/>
      <c r="C88" s="103"/>
      <c r="D88" s="103"/>
    </row>
  </sheetData>
  <sheetProtection sheet="1" selectLockedCells="1"/>
  <mergeCells count="2">
    <mergeCell ref="A3:B3"/>
    <mergeCell ref="A4:E4"/>
  </mergeCells>
  <pageMargins left="0.70866141732283472" right="0.70866141732283472" top="0.74803149606299213" bottom="0.74803149606299213" header="0.31496062992125984" footer="0.31496062992125984"/>
  <pageSetup paperSize="9" orientation="portrait" r:id="rId1"/>
  <headerFooter>
    <oddHeader>&amp;C&amp;9&amp;A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Projektforudsætninger!$C$18:$C$26</xm:f>
          </x14:formula1>
          <xm:sqref>C6:C33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tabColor rgb="FF92D050"/>
  </sheetPr>
  <dimension ref="B2:L105"/>
  <sheetViews>
    <sheetView showWhiteSpace="0" view="pageLayout" zoomScale="80" zoomScaleNormal="100" zoomScalePageLayoutView="80" workbookViewId="0">
      <selection activeCell="B1" sqref="B1"/>
    </sheetView>
  </sheetViews>
  <sheetFormatPr defaultColWidth="16.265625" defaultRowHeight="13.15" x14ac:dyDescent="0.45"/>
  <cols>
    <col min="1" max="1" width="28.73046875" style="2" customWidth="1"/>
    <col min="2" max="2" width="40.3984375" style="11" customWidth="1"/>
    <col min="3" max="3" width="30.3984375" style="11" customWidth="1"/>
    <col min="4" max="4" width="10.3984375" style="2" customWidth="1"/>
    <col min="5" max="5" width="8" style="2" customWidth="1"/>
    <col min="6" max="6" width="16.265625" style="2" customWidth="1"/>
    <col min="7" max="7" width="8.3984375" style="2" customWidth="1"/>
    <col min="8" max="8" width="1.3984375" style="2" customWidth="1"/>
    <col min="9" max="9" width="30.3984375" style="2" customWidth="1"/>
    <col min="10" max="10" width="34.73046875" style="2" customWidth="1"/>
    <col min="11" max="16384" width="16.265625" style="2"/>
  </cols>
  <sheetData>
    <row r="2" spans="2:12" ht="23.25" x14ac:dyDescent="0.45">
      <c r="B2" s="4" t="s">
        <v>149</v>
      </c>
      <c r="C2" s="4" t="s">
        <v>62</v>
      </c>
      <c r="D2" s="4" t="s">
        <v>63</v>
      </c>
      <c r="E2" s="16"/>
      <c r="F2" s="16"/>
      <c r="G2" s="16"/>
    </row>
    <row r="3" spans="2:12" ht="21" x14ac:dyDescent="0.45">
      <c r="B3" s="8" t="s">
        <v>150</v>
      </c>
      <c r="C3" s="6"/>
      <c r="D3" s="6" t="s">
        <v>66</v>
      </c>
      <c r="E3" s="16"/>
      <c r="F3" s="16"/>
      <c r="G3" s="16"/>
    </row>
    <row r="4" spans="2:12" x14ac:dyDescent="0.45">
      <c r="B4" s="8" t="s">
        <v>67</v>
      </c>
      <c r="C4" s="6" t="s">
        <v>151</v>
      </c>
      <c r="D4" s="6" t="s">
        <v>152</v>
      </c>
      <c r="E4" s="16"/>
      <c r="F4" s="16"/>
      <c r="G4" s="16"/>
    </row>
    <row r="5" spans="2:12" ht="31.5" x14ac:dyDescent="0.45">
      <c r="B5" s="8" t="s">
        <v>153</v>
      </c>
      <c r="C5" s="6"/>
      <c r="D5" s="6" t="s">
        <v>152</v>
      </c>
      <c r="E5" s="16"/>
      <c r="F5" s="16"/>
      <c r="G5" s="16"/>
    </row>
    <row r="6" spans="2:12" x14ac:dyDescent="0.45">
      <c r="B6" s="8" t="s">
        <v>154</v>
      </c>
      <c r="C6" s="6" t="s">
        <v>151</v>
      </c>
      <c r="D6" s="6" t="s">
        <v>69</v>
      </c>
      <c r="E6" s="16"/>
      <c r="F6" s="16"/>
      <c r="G6" s="16"/>
    </row>
    <row r="7" spans="2:12" x14ac:dyDescent="0.45">
      <c r="B7" s="8" t="s">
        <v>74</v>
      </c>
      <c r="C7" s="6"/>
      <c r="D7" s="6" t="s">
        <v>69</v>
      </c>
      <c r="E7" s="16"/>
      <c r="F7" s="16"/>
      <c r="G7" s="16"/>
    </row>
    <row r="8" spans="2:12" ht="84" x14ac:dyDescent="0.45">
      <c r="B8" s="8" t="s">
        <v>155</v>
      </c>
      <c r="C8" s="6" t="s">
        <v>156</v>
      </c>
      <c r="D8" s="6" t="s">
        <v>69</v>
      </c>
      <c r="E8" s="16"/>
      <c r="F8" s="16"/>
      <c r="G8" s="16"/>
    </row>
    <row r="9" spans="2:12" x14ac:dyDescent="0.45">
      <c r="B9" s="8" t="s">
        <v>76</v>
      </c>
      <c r="C9" s="6"/>
      <c r="D9" s="6" t="s">
        <v>73</v>
      </c>
      <c r="E9" s="16"/>
      <c r="F9" s="16"/>
      <c r="G9" s="16"/>
    </row>
    <row r="10" spans="2:12" x14ac:dyDescent="0.45">
      <c r="B10" s="8"/>
      <c r="C10" s="7"/>
      <c r="D10" s="7"/>
      <c r="E10" s="16"/>
      <c r="F10" s="16"/>
      <c r="G10" s="16"/>
    </row>
    <row r="11" spans="2:12" x14ac:dyDescent="0.45">
      <c r="B11" s="8"/>
      <c r="C11" s="6"/>
      <c r="D11" s="6"/>
      <c r="E11" s="16"/>
      <c r="F11" s="16"/>
      <c r="G11" s="16"/>
    </row>
    <row r="12" spans="2:12" ht="31.5" x14ac:dyDescent="0.45">
      <c r="B12" s="8" t="s">
        <v>157</v>
      </c>
      <c r="C12" s="6"/>
      <c r="D12" s="6" t="s">
        <v>92</v>
      </c>
      <c r="E12" s="16"/>
      <c r="F12" s="16"/>
      <c r="G12" s="16"/>
    </row>
    <row r="13" spans="2:12" ht="21" x14ac:dyDescent="0.45">
      <c r="B13" s="8" t="s">
        <v>158</v>
      </c>
      <c r="C13" s="6"/>
      <c r="D13" s="6" t="s">
        <v>92</v>
      </c>
      <c r="E13" s="16"/>
      <c r="F13" s="16"/>
      <c r="G13" s="16"/>
    </row>
    <row r="14" spans="2:12" x14ac:dyDescent="0.45">
      <c r="B14" s="8"/>
      <c r="C14" s="6"/>
      <c r="D14" s="6"/>
      <c r="E14" s="16"/>
      <c r="F14" s="16"/>
      <c r="G14" s="16"/>
    </row>
    <row r="15" spans="2:12" ht="13.15" customHeight="1" x14ac:dyDescent="0.45">
      <c r="B15" s="8" t="s">
        <v>88</v>
      </c>
      <c r="C15" s="6" t="s">
        <v>159</v>
      </c>
      <c r="D15" s="6" t="s">
        <v>89</v>
      </c>
      <c r="E15" s="18"/>
      <c r="F15" s="16"/>
      <c r="G15" s="18"/>
      <c r="H15" s="5"/>
      <c r="I15" s="13"/>
      <c r="J15" s="14"/>
      <c r="K15" s="15"/>
    </row>
    <row r="16" spans="2:12" x14ac:dyDescent="0.45">
      <c r="B16" s="8"/>
      <c r="C16" s="6"/>
      <c r="D16" s="6"/>
      <c r="E16" s="18"/>
      <c r="F16" s="18"/>
      <c r="G16" s="18"/>
      <c r="L16" s="15"/>
    </row>
    <row r="17" spans="2:7" ht="84" x14ac:dyDescent="0.45">
      <c r="B17" s="8" t="str">
        <f>Arbejdsark!K579</f>
        <v>Oversvømmelse kan have store konsekvenser for et byggeri. Der er derfor en økonomisk gevinst i at overveje risikoen for oversvømmelse, nu og i fremtiden, inden området, hvor bygningen skal opføres, udpeges. Kommer byggeriet til at ligge på en grund med risiko for oversvømmelse fra enten regnvand, spildevand eller havvand? Og stiller bygherre krav til særlige forebyggende foranstaltninger, som skal indarbejdes i projektet (for eksempel en hævet kote for byggeriets nederste etage, pumper og lignende)</v>
      </c>
      <c r="C17" s="8" t="str">
        <f>Arbejdsark!L579</f>
        <v>Udfyldes af projektleder</v>
      </c>
      <c r="D17" s="6" t="s">
        <v>160</v>
      </c>
      <c r="E17" s="15"/>
      <c r="F17" s="15"/>
      <c r="G17" s="15"/>
    </row>
    <row r="18" spans="2:7" ht="84" x14ac:dyDescent="0.45">
      <c r="B18" s="8" t="str">
        <f>Arbejdsark!K584</f>
        <v>Jordbundsforhold har betydning for, hvordan en bygning skal funderes og samtidig kan forurening i jorden have konsekvenser for miljø og sundhed. Ved stærk forurening skal jorden oprenses og fjernes. Der er derfor både en økonomisk og social gevinst i at undersøge jordbundsforholdene inden grunden udvælges. Har bygherre kendskab til jordbundsforholdene og er der risiko for at finde forurening i jorden eller at jorden eroderer (dvs. forsvinder over tid)?</v>
      </c>
      <c r="C18" s="8" t="str">
        <f>Arbejdsark!L584</f>
        <v>Udfyldes af projektleder</v>
      </c>
      <c r="D18" s="6" t="s">
        <v>160</v>
      </c>
      <c r="E18" s="15"/>
      <c r="F18" s="15"/>
      <c r="G18" s="15"/>
    </row>
    <row r="19" spans="2:7" ht="58.5" customHeight="1" x14ac:dyDescent="0.45">
      <c r="B19" s="8" t="str">
        <f>Arbejdsark!K589</f>
        <v>Dårlig udeluftskvalitet kan have konsekvenser for brugernes sundhed og velbefindende. Der er derfor en social gevinst i at kortlægge udeluftskvaliteten i det område, hvor byggegrunden er placeret. Har bygherre kendskab til indholdet af finstøv, ozon og CO2 i udeluften?</v>
      </c>
      <c r="C19" s="8" t="str">
        <f>Arbejdsark!L589</f>
        <v>Ja / nej + Angiv de specifikke data eller henvis til bilag med oplysninger</v>
      </c>
      <c r="D19" s="6" t="s">
        <v>160</v>
      </c>
      <c r="E19" s="15"/>
      <c r="F19" s="15"/>
      <c r="G19" s="15"/>
    </row>
    <row r="20" spans="2:7" ht="63" x14ac:dyDescent="0.45">
      <c r="B20" s="8" t="str">
        <f>Arbejdsark!K594</f>
        <v>Det udendørs støjniveau påvirker brugernes velbefindende og tilfredshed. Der er derfor en social gevinst i at kortlægge det udendørs støjniveau i det område, hvor byggegrunden er placeret. Er det udendørs støjniveau kortlagt for byggefeltet? Og er der særlige funktioner i byggeriet, som er følsomme overfor de registrerede støjniveauer?</v>
      </c>
      <c r="C20" s="8" t="str">
        <f>Arbejdsark!L594</f>
        <v>Ja / nej + vedlæg støjkort</v>
      </c>
      <c r="D20" s="6" t="s">
        <v>160</v>
      </c>
      <c r="E20" s="15"/>
      <c r="F20" s="15"/>
      <c r="G20" s="15"/>
    </row>
    <row r="21" spans="2:7" ht="115.5" x14ac:dyDescent="0.45">
      <c r="B21" s="8" t="str">
        <f>Arbejdsark!K599</f>
        <v xml:space="preserve">Radon er naturligt fremkommende i undergrunden, men omfanget af radon, der udsiver fra jorden, og derved risikerer at trænge ind i boligen, afhænger af, hvor i landet man befinder sig. Høje koncentrationer af radon i boligen, som udsiver fra jorden, kan forøge risikoen for lunge- og luftvejsproblemer, og der er derved en social gevinst ved at kortlægge radonniveauet i det område, hvor byggegrunden er placeret. Hvilken radonklasse er byggefeltet eller området klassificeret som på http://boligejer.dk/guide-radon/0/26? Og forventes de valgte rådgivere at indarbejde særlige tiltag i projektet?
</v>
      </c>
      <c r="C21" s="8" t="s">
        <v>161</v>
      </c>
      <c r="D21" s="6" t="s">
        <v>160</v>
      </c>
      <c r="E21" s="15"/>
      <c r="F21" s="15"/>
      <c r="G21" s="15"/>
    </row>
    <row r="22" spans="2:7" ht="22.5" customHeight="1" x14ac:dyDescent="0.45">
      <c r="B22" s="8" t="e">
        <f>Arbejdsark!#REF!</f>
        <v>#REF!</v>
      </c>
      <c r="C22" s="8" t="str">
        <f>Arbejdsark!L606</f>
        <v xml:space="preserve">Ja/Nej, hvis ja, beskriv Og hvilke immissionsværdier er oplyst for henholdsvis elektromagnetiske felter eller højspænding i Volt/meter eller kilovolt/meter?
</v>
      </c>
      <c r="D22" s="6" t="s">
        <v>160</v>
      </c>
      <c r="E22" s="15"/>
      <c r="F22" s="15"/>
      <c r="G22" s="15"/>
    </row>
    <row r="23" spans="2:7" x14ac:dyDescent="0.45">
      <c r="B23" s="8"/>
      <c r="C23" s="8"/>
      <c r="D23" s="6"/>
      <c r="E23" s="15"/>
      <c r="F23" s="15"/>
      <c r="G23" s="15"/>
    </row>
    <row r="24" spans="2:7" x14ac:dyDescent="0.45">
      <c r="B24" s="8" t="e">
        <f>Arbejdsark!#REF!</f>
        <v>#REF!</v>
      </c>
      <c r="C24" s="8" t="s">
        <v>161</v>
      </c>
      <c r="D24" s="6" t="s">
        <v>162</v>
      </c>
      <c r="E24" s="15"/>
      <c r="F24" s="15"/>
      <c r="G24" s="15"/>
    </row>
    <row r="25" spans="2:7" ht="63" x14ac:dyDescent="0.45">
      <c r="B25" s="8" t="str">
        <f>Arbejdsark!K616</f>
        <v>Opførelse af en ny bygning kan bidrage til en forbedring af området, eksempelvis ved at gøre området attraktivt for en større befolkningsgruppe. Der er derfor en social gevinst ved at vælge et område, hvor bygningen kan have en positiv indflydelse på udviklingen. Hvor vigtigt er det, at projektet har en positiv indflydelse på udviklingen i området?</v>
      </c>
      <c r="C25" s="8" t="s">
        <v>161</v>
      </c>
      <c r="D25" s="6" t="s">
        <v>162</v>
      </c>
      <c r="E25" s="15"/>
      <c r="F25" s="15"/>
      <c r="G25" s="15"/>
    </row>
    <row r="26" spans="2:7" ht="73.5" x14ac:dyDescent="0.45">
      <c r="B26" s="8" t="str">
        <f>Arbejdsark!K621</f>
        <v>Kriminalitetsniveauet i området, hvor byggegrunden er placeret har stor betydning for, hvor attraktiv en bygning er, og har samtidig indflydelse på brugernes tryghed og sikkerhed. Der er derfor både en økonomisk og en social gevinst ved at kortlægge kriminaliteten i området, inden byggegrunden udpeges. Er området plaget af kriminalitet? Og skal der indarbejdes kriminalpræventive tiltag i projektet?</v>
      </c>
      <c r="C26" s="8" t="s">
        <v>161</v>
      </c>
      <c r="D26" s="6" t="s">
        <v>162</v>
      </c>
      <c r="E26" s="15"/>
      <c r="F26" s="15"/>
      <c r="G26" s="15"/>
    </row>
    <row r="27" spans="2:7" ht="63" x14ac:dyDescent="0.45">
      <c r="B27" s="8" t="str">
        <f>Arbejdsark!K627</f>
        <v>Det betragtes positivt for bæredygtigheden i området, hvis der i forbindelse med udpegning af byggegrunden udarbejdes et løsningskatalog med konkrete tiltag til, hvordan bygningen kan bidrage positivt til områdets udvikling. Skal rådgiver udarbejde et løsningskatalog, der beskriver hvordan projektet bidrager positivt til områdets udvikling?</v>
      </c>
      <c r="C27" s="8" t="s">
        <v>161</v>
      </c>
      <c r="D27" s="6" t="s">
        <v>162</v>
      </c>
      <c r="E27" s="15"/>
      <c r="F27" s="15"/>
      <c r="G27" s="15"/>
    </row>
    <row r="28" spans="2:7" x14ac:dyDescent="0.45">
      <c r="B28" s="8"/>
      <c r="C28" s="8"/>
      <c r="D28" s="6"/>
      <c r="E28" s="15"/>
      <c r="F28" s="15"/>
      <c r="G28" s="15"/>
    </row>
    <row r="29" spans="2:7" ht="73.5" x14ac:dyDescent="0.45">
      <c r="B29" s="8" t="str">
        <f>Arbejdsark!K633</f>
        <v>Gode adgangsforhold for bil, cykel og offentlig transport har betydning for et områdes attraktivitet. Der er en økonomisk fordel ved at vælge en byggegrund med god adgang for trafik, da dette er med til at forøge bygningens værdi. Hvordan er adgangsveje og stiforbindelser i området for personbiler, cyklister og forgængere? Og er der krav til håndtering af personbiler, varelevering, cyklister og fodgængere, der skal overholdes i projektet?</v>
      </c>
      <c r="C29" s="8" t="str">
        <f>Arbejdsark!L633</f>
        <v>Beskriv adgangsvejene og krav til håndtering af blød og hård trafik på grunden</v>
      </c>
      <c r="D29" s="6" t="s">
        <v>163</v>
      </c>
      <c r="E29" s="15"/>
      <c r="F29" s="15"/>
      <c r="G29" s="15"/>
    </row>
    <row r="30" spans="2:7" ht="52.5" x14ac:dyDescent="0.45">
      <c r="B30" s="8" t="str">
        <f>Arbejdsark!K638</f>
        <v xml:space="preserve">Gode parkeringsmuligheder for bil, cykel og handikapparkering har betydning for et områdes attraktivitet. Der er en økonomisk fordel ved at vælge en byggegrund med gode parkeringsforhold, da dette er med til at forøge bygningens værdi. Hvilke krav stiller projektet til parkeringsmuligheder for personbiler, cykler og handikapkøretøjer. </v>
      </c>
      <c r="C30" s="8" t="str">
        <f>Arbejdsark!L638</f>
        <v>Beskriv krav til parkering</v>
      </c>
      <c r="D30" s="6" t="s">
        <v>163</v>
      </c>
      <c r="E30" s="15"/>
      <c r="F30" s="15"/>
      <c r="G30" s="15"/>
    </row>
    <row r="31" spans="2:7" ht="63" x14ac:dyDescent="0.45">
      <c r="B31" s="8" t="str">
        <f>Arbejdsark!K643</f>
        <v xml:space="preserve">Gode faciliteter for bilister, eksempelvis ladestandere til elbiler, bilvask og afsætningsområder ("kiss'n'ride") er medvirkende til at øge områdets attraktivitet. Der er en økonomisk fordel ved at vælge en byggegrund med gode parkeringsforhold, da dette er med til at forøge bygningens værdi. Hvilke faciliteter ønsker bygherre eller Kommunen, der indarbejdes i projektet for bilister? </v>
      </c>
      <c r="C31" s="8" t="str">
        <f>Arbejdsark!L643</f>
        <v>Beskriv krav til faciliteter for bilister</v>
      </c>
      <c r="D31" s="6" t="s">
        <v>163</v>
      </c>
      <c r="E31" s="15"/>
      <c r="F31" s="15"/>
      <c r="G31" s="15"/>
    </row>
    <row r="32" spans="2:7" x14ac:dyDescent="0.45">
      <c r="B32" s="8"/>
      <c r="C32" s="8"/>
      <c r="D32" s="6"/>
      <c r="E32" s="15"/>
      <c r="F32" s="15"/>
      <c r="G32" s="15"/>
    </row>
    <row r="33" spans="2:7" ht="13.15" customHeight="1" x14ac:dyDescent="0.45">
      <c r="B33" s="8" t="str">
        <f>Arbejdsark!K648</f>
        <v xml:space="preserve">God adgang til servicefunktioner i området, herunder skoler, indkøbsmuligheder, fitnesscentre etc., er medvirkende til at gøre et område mere attraktivt. Der er derfor en økonomisk fordel ved at vælge en byggegrund, der ligger i nærheden af sådanne servicefunktioner. Ligger byggeriet tæt på eller langt fra følgende servicefunktioner:
1. Spisesteder eller et bageri
2. Butikker, der sælger fødevarer eller et apotek
4. Uddannelse eller børnepasningsmuligheder
5. Offentlige administrationsbygninger, der yder borgerservice eller andre offentlige faciliteter
6. Sundhedsfaciliteter så som læge, kiropraktor, genoptræningsklinik
7. Sportsfaciliteter så som fitnescenter, stadionanlæg, sportsklubber
8. Posthus, bank, skræddere, tømmere mv.?
</v>
      </c>
      <c r="C33" s="8" t="str">
        <f>Arbejdsark!L648</f>
        <v>Ja/Nej
Vedlæg evt. et oversigtskort med markeringer</v>
      </c>
      <c r="D33" s="12" t="s">
        <v>164</v>
      </c>
      <c r="E33" s="15"/>
      <c r="F33" s="15"/>
      <c r="G33" s="15"/>
    </row>
    <row r="34" spans="2:7" ht="13.15" customHeight="1" x14ac:dyDescent="0.45">
      <c r="B34" s="8" t="str">
        <f>Arbejdsark!K649</f>
        <v>God adgang til servicefunktioner i området, herunder skoler, indkøbsmuligheder, fitnesscentre etc., er medvirkende til at gøre et område mere attraktivt. Der er derfor en økonomisk fordel ved at vælge en byggegrund, der ligger i nærheden af sådanne servicefunktioner. Ligger byggeriet tæt på et eller flere fritidstilbud (eksempelvis biblioteker, biografer, svømmebade, danseskoler, billedskoler, bowlinghal)?</v>
      </c>
      <c r="C34" s="8" t="str">
        <f>Arbejdsark!L649</f>
        <v>Ja/Nej
Vedlæg evt. et oversigtskort med markeringer</v>
      </c>
      <c r="D34" s="12" t="s">
        <v>164</v>
      </c>
      <c r="E34" s="15"/>
      <c r="F34" s="15"/>
      <c r="G34" s="15"/>
    </row>
    <row r="35" spans="2:7" ht="13.15" customHeight="1" x14ac:dyDescent="0.45">
      <c r="B35" s="8" t="str">
        <f>Arbejdsark!K650</f>
        <v xml:space="preserve">God adgang til servicefunktioner i området, herunder skoler, indkøbsmuligheder, fitnesscentre etc., er medvirkende til at gøre et område mere attraktivt. Der er derfor en økonomisk fordel ved at vælge en byggegrund, der ligger i nærheden af sådanne servicefunktioner. Stiller bygherre krav om, at der skal indarbejdes servicefunktioner i byggeriet eller på byggegrunden? </v>
      </c>
      <c r="C35" s="8" t="str">
        <f>Arbejdsark!L650</f>
        <v>Ja/nej. Hvis ja; beskriv hvilke funktioner, der indarbejdes</v>
      </c>
      <c r="D35" s="12" t="s">
        <v>164</v>
      </c>
      <c r="E35" s="15"/>
      <c r="F35" s="15"/>
      <c r="G35" s="15"/>
    </row>
    <row r="36" spans="2:7" ht="13.15" customHeight="1" x14ac:dyDescent="0.45">
      <c r="B36" s="13"/>
      <c r="C36" s="15"/>
      <c r="D36" s="15"/>
      <c r="E36" s="15"/>
      <c r="F36" s="15"/>
      <c r="G36" s="15"/>
    </row>
    <row r="37" spans="2:7" ht="13.15" customHeight="1" x14ac:dyDescent="0.45">
      <c r="B37" s="13"/>
      <c r="C37" s="15"/>
      <c r="D37" s="15"/>
      <c r="E37" s="15"/>
      <c r="F37" s="15"/>
      <c r="G37" s="15"/>
    </row>
    <row r="38" spans="2:7" ht="13.15" customHeight="1" x14ac:dyDescent="0.45">
      <c r="B38" s="13"/>
      <c r="C38" s="15"/>
      <c r="D38" s="15"/>
      <c r="E38" s="15"/>
      <c r="F38" s="15"/>
      <c r="G38" s="15"/>
    </row>
    <row r="39" spans="2:7" x14ac:dyDescent="0.45">
      <c r="B39" s="13"/>
      <c r="C39" s="15"/>
      <c r="D39" s="15"/>
      <c r="E39" s="15"/>
      <c r="F39" s="15"/>
      <c r="G39" s="15"/>
    </row>
    <row r="40" spans="2:7" x14ac:dyDescent="0.45">
      <c r="B40" s="13"/>
      <c r="C40" s="15"/>
      <c r="D40" s="15"/>
      <c r="E40" s="15"/>
      <c r="F40" s="15"/>
      <c r="G40" s="15"/>
    </row>
    <row r="41" spans="2:7" x14ac:dyDescent="0.45">
      <c r="B41" s="13"/>
      <c r="C41" s="15"/>
      <c r="D41" s="15"/>
      <c r="E41" s="15"/>
      <c r="F41" s="15"/>
      <c r="G41" s="15"/>
    </row>
    <row r="42" spans="2:7" x14ac:dyDescent="0.45">
      <c r="B42" s="13"/>
      <c r="C42" s="15"/>
      <c r="D42" s="15"/>
      <c r="E42" s="15"/>
      <c r="F42" s="15"/>
      <c r="G42" s="15"/>
    </row>
    <row r="43" spans="2:7" ht="24" customHeight="1" x14ac:dyDescent="0.45">
      <c r="B43" s="13"/>
      <c r="C43" s="15"/>
      <c r="D43" s="15"/>
      <c r="E43" s="15"/>
      <c r="F43" s="15"/>
      <c r="G43" s="15"/>
    </row>
    <row r="44" spans="2:7" x14ac:dyDescent="0.45">
      <c r="B44" s="13"/>
      <c r="C44" s="15"/>
      <c r="D44" s="15"/>
      <c r="E44" s="15"/>
      <c r="F44" s="15"/>
      <c r="G44" s="15"/>
    </row>
    <row r="45" spans="2:7" x14ac:dyDescent="0.45">
      <c r="B45" s="13"/>
      <c r="C45" s="15"/>
      <c r="D45" s="15"/>
      <c r="E45" s="15"/>
      <c r="F45" s="15"/>
      <c r="G45" s="15"/>
    </row>
    <row r="46" spans="2:7" x14ac:dyDescent="0.45">
      <c r="B46" s="13"/>
      <c r="C46" s="15"/>
      <c r="D46" s="15"/>
      <c r="E46" s="15"/>
      <c r="F46" s="15"/>
      <c r="G46" s="15"/>
    </row>
    <row r="47" spans="2:7" x14ac:dyDescent="0.45">
      <c r="B47" s="13"/>
      <c r="C47" s="15"/>
      <c r="D47" s="15"/>
      <c r="E47" s="15"/>
      <c r="F47" s="15"/>
      <c r="G47" s="15"/>
    </row>
    <row r="48" spans="2:7" ht="13.15" customHeight="1" x14ac:dyDescent="0.45">
      <c r="B48" s="13"/>
      <c r="C48" s="15"/>
      <c r="D48" s="15"/>
      <c r="E48" s="15"/>
      <c r="F48" s="15"/>
      <c r="G48" s="15"/>
    </row>
    <row r="49" spans="2:11" x14ac:dyDescent="0.45">
      <c r="B49" s="13"/>
      <c r="C49" s="15"/>
      <c r="D49" s="15"/>
      <c r="E49" s="15"/>
      <c r="F49" s="15"/>
      <c r="G49" s="15"/>
    </row>
    <row r="50" spans="2:11" x14ac:dyDescent="0.45">
      <c r="B50" s="13"/>
      <c r="C50" s="17"/>
      <c r="D50" s="17"/>
      <c r="E50" s="17"/>
      <c r="F50" s="17"/>
      <c r="G50" s="15"/>
    </row>
    <row r="51" spans="2:11" x14ac:dyDescent="0.45">
      <c r="B51" s="16"/>
      <c r="C51" s="16"/>
      <c r="D51" s="16"/>
      <c r="E51" s="16"/>
      <c r="F51" s="16"/>
      <c r="G51" s="16"/>
    </row>
    <row r="52" spans="2:11" x14ac:dyDescent="0.45">
      <c r="B52" s="16"/>
      <c r="C52" s="16"/>
      <c r="D52" s="16"/>
      <c r="E52" s="16"/>
      <c r="F52" s="16"/>
      <c r="G52" s="16"/>
    </row>
    <row r="53" spans="2:11" ht="28.5" customHeight="1" x14ac:dyDescent="0.45">
      <c r="B53" s="16"/>
      <c r="C53" s="16"/>
      <c r="D53" s="16"/>
      <c r="E53" s="16"/>
      <c r="F53" s="16"/>
      <c r="G53" s="16"/>
    </row>
    <row r="54" spans="2:11" ht="30.75" customHeight="1" x14ac:dyDescent="0.45">
      <c r="B54" s="16"/>
      <c r="C54" s="16"/>
      <c r="D54" s="16"/>
      <c r="E54" s="16"/>
      <c r="F54" s="16"/>
      <c r="G54" s="16"/>
    </row>
    <row r="55" spans="2:11" ht="37.15" customHeight="1" x14ac:dyDescent="0.45">
      <c r="B55" s="16"/>
      <c r="C55" s="16"/>
      <c r="D55" s="16"/>
      <c r="E55" s="16"/>
      <c r="F55" s="16"/>
      <c r="G55" s="16"/>
    </row>
    <row r="56" spans="2:11" x14ac:dyDescent="0.45">
      <c r="B56" s="16"/>
      <c r="C56" s="16"/>
      <c r="D56" s="16"/>
      <c r="E56" s="16"/>
      <c r="F56" s="16"/>
      <c r="G56" s="16"/>
    </row>
    <row r="57" spans="2:11" x14ac:dyDescent="0.45">
      <c r="B57" s="16"/>
      <c r="C57" s="16"/>
      <c r="D57" s="16"/>
      <c r="E57" s="16"/>
      <c r="F57" s="16"/>
      <c r="G57" s="16"/>
    </row>
    <row r="58" spans="2:11" ht="281.25" customHeight="1" x14ac:dyDescent="0.45">
      <c r="B58" s="16"/>
      <c r="C58" s="16"/>
      <c r="D58" s="16"/>
      <c r="E58" s="16"/>
      <c r="F58" s="16"/>
      <c r="G58" s="16"/>
    </row>
    <row r="59" spans="2:11" ht="12.75" customHeight="1" x14ac:dyDescent="0.45">
      <c r="B59" s="2"/>
      <c r="C59" s="2"/>
      <c r="K59" s="3"/>
    </row>
    <row r="60" spans="2:11" s="3" customFormat="1" x14ac:dyDescent="0.45">
      <c r="I60" s="2"/>
      <c r="J60" s="2"/>
      <c r="K60" s="2"/>
    </row>
    <row r="61" spans="2:11" x14ac:dyDescent="0.45">
      <c r="B61" s="2"/>
      <c r="C61" s="2"/>
    </row>
    <row r="62" spans="2:11" x14ac:dyDescent="0.45">
      <c r="B62" s="2"/>
      <c r="C62" s="2"/>
    </row>
    <row r="63" spans="2:11" x14ac:dyDescent="0.45">
      <c r="B63" s="2"/>
      <c r="C63" s="2"/>
    </row>
    <row r="64" spans="2:11" x14ac:dyDescent="0.45">
      <c r="B64" s="2"/>
      <c r="C64" s="2"/>
    </row>
    <row r="65" spans="2:3" x14ac:dyDescent="0.45">
      <c r="B65" s="2"/>
      <c r="C65" s="2"/>
    </row>
    <row r="66" spans="2:3" x14ac:dyDescent="0.45">
      <c r="B66" s="2"/>
      <c r="C66" s="2"/>
    </row>
    <row r="67" spans="2:3" x14ac:dyDescent="0.45">
      <c r="B67" s="2"/>
      <c r="C67" s="2"/>
    </row>
    <row r="68" spans="2:3" x14ac:dyDescent="0.45">
      <c r="B68" s="2"/>
      <c r="C68" s="2"/>
    </row>
    <row r="69" spans="2:3" x14ac:dyDescent="0.45">
      <c r="B69" s="2"/>
      <c r="C69" s="2"/>
    </row>
    <row r="70" spans="2:3" x14ac:dyDescent="0.45">
      <c r="B70" s="2"/>
      <c r="C70" s="2"/>
    </row>
    <row r="71" spans="2:3" x14ac:dyDescent="0.45">
      <c r="B71" s="2"/>
      <c r="C71" s="2"/>
    </row>
    <row r="72" spans="2:3" x14ac:dyDescent="0.45">
      <c r="B72" s="2"/>
      <c r="C72" s="2"/>
    </row>
    <row r="73" spans="2:3" x14ac:dyDescent="0.45">
      <c r="B73" s="2"/>
      <c r="C73" s="2"/>
    </row>
    <row r="74" spans="2:3" x14ac:dyDescent="0.45">
      <c r="B74" s="2"/>
      <c r="C74" s="2"/>
    </row>
    <row r="75" spans="2:3" x14ac:dyDescent="0.45">
      <c r="B75" s="2"/>
      <c r="C75" s="2"/>
    </row>
    <row r="76" spans="2:3" x14ac:dyDescent="0.45">
      <c r="B76" s="2"/>
      <c r="C76" s="2"/>
    </row>
    <row r="77" spans="2:3" x14ac:dyDescent="0.45">
      <c r="B77" s="2"/>
      <c r="C77" s="2"/>
    </row>
    <row r="78" spans="2:3" x14ac:dyDescent="0.45">
      <c r="B78" s="2"/>
      <c r="C78" s="2"/>
    </row>
    <row r="79" spans="2:3" x14ac:dyDescent="0.45">
      <c r="B79" s="2"/>
      <c r="C79" s="2"/>
    </row>
    <row r="80" spans="2:3" x14ac:dyDescent="0.45">
      <c r="B80" s="2"/>
      <c r="C80" s="2"/>
    </row>
    <row r="81" spans="2:8" x14ac:dyDescent="0.45">
      <c r="B81" s="2"/>
      <c r="C81" s="2"/>
    </row>
    <row r="82" spans="2:8" x14ac:dyDescent="0.45">
      <c r="B82" s="2"/>
      <c r="C82" s="2"/>
    </row>
    <row r="83" spans="2:8" x14ac:dyDescent="0.45">
      <c r="B83" s="2"/>
      <c r="C83" s="2"/>
    </row>
    <row r="84" spans="2:8" x14ac:dyDescent="0.45">
      <c r="B84" s="9"/>
      <c r="C84" s="9"/>
      <c r="D84" s="1"/>
      <c r="E84" s="1"/>
      <c r="F84" s="1"/>
      <c r="G84" s="1"/>
      <c r="H84" s="1"/>
    </row>
    <row r="85" spans="2:8" x14ac:dyDescent="0.45">
      <c r="B85" s="9"/>
      <c r="C85" s="9"/>
      <c r="D85" s="1"/>
      <c r="E85" s="1"/>
      <c r="F85" s="1"/>
      <c r="G85" s="1"/>
      <c r="H85" s="1"/>
    </row>
    <row r="86" spans="2:8" x14ac:dyDescent="0.45">
      <c r="B86" s="9"/>
      <c r="C86" s="9"/>
      <c r="D86" s="1"/>
      <c r="E86" s="1"/>
      <c r="F86" s="1"/>
      <c r="G86" s="1"/>
      <c r="H86" s="1"/>
    </row>
    <row r="87" spans="2:8" x14ac:dyDescent="0.45">
      <c r="B87" s="9"/>
      <c r="C87" s="9"/>
      <c r="D87" s="1"/>
      <c r="E87" s="1"/>
      <c r="F87" s="1"/>
      <c r="G87" s="1"/>
      <c r="H87" s="1"/>
    </row>
    <row r="88" spans="2:8" x14ac:dyDescent="0.45">
      <c r="B88" s="9"/>
      <c r="C88" s="9"/>
      <c r="D88" s="1"/>
      <c r="E88" s="1"/>
      <c r="F88" s="1"/>
      <c r="G88" s="1"/>
      <c r="H88" s="1"/>
    </row>
    <row r="89" spans="2:8" x14ac:dyDescent="0.45">
      <c r="B89" s="9"/>
      <c r="C89" s="9"/>
      <c r="D89" s="1"/>
      <c r="E89" s="1"/>
      <c r="F89" s="1"/>
      <c r="G89" s="1"/>
      <c r="H89" s="1"/>
    </row>
    <row r="90" spans="2:8" x14ac:dyDescent="0.45">
      <c r="B90" s="9"/>
      <c r="C90" s="9"/>
      <c r="D90" s="1"/>
      <c r="E90" s="1"/>
      <c r="F90" s="1"/>
      <c r="G90" s="1"/>
      <c r="H90" s="1"/>
    </row>
    <row r="91" spans="2:8" x14ac:dyDescent="0.45">
      <c r="B91" s="9"/>
      <c r="C91" s="9"/>
      <c r="D91" s="1"/>
      <c r="E91" s="1"/>
      <c r="F91" s="1"/>
      <c r="G91" s="1"/>
      <c r="H91" s="1"/>
    </row>
    <row r="92" spans="2:8" x14ac:dyDescent="0.45">
      <c r="B92" s="9"/>
      <c r="C92" s="9"/>
      <c r="D92" s="1"/>
      <c r="E92" s="1"/>
      <c r="F92" s="1"/>
      <c r="G92" s="1"/>
      <c r="H92" s="1"/>
    </row>
    <row r="93" spans="2:8" x14ac:dyDescent="0.45">
      <c r="B93" s="9"/>
      <c r="C93" s="9"/>
      <c r="D93" s="1"/>
      <c r="E93" s="1"/>
      <c r="F93" s="1"/>
      <c r="G93" s="1"/>
      <c r="H93" s="1"/>
    </row>
    <row r="94" spans="2:8" x14ac:dyDescent="0.45">
      <c r="B94" s="9"/>
      <c r="C94" s="9"/>
      <c r="D94" s="1"/>
      <c r="E94" s="1"/>
      <c r="F94" s="1"/>
      <c r="G94" s="1"/>
      <c r="H94" s="1"/>
    </row>
    <row r="95" spans="2:8" x14ac:dyDescent="0.45">
      <c r="B95" s="9"/>
      <c r="C95" s="9"/>
      <c r="D95" s="1"/>
      <c r="E95" s="1"/>
      <c r="F95" s="1"/>
      <c r="G95" s="1"/>
      <c r="H95" s="1"/>
    </row>
    <row r="96" spans="2:8" x14ac:dyDescent="0.45">
      <c r="B96" s="9"/>
      <c r="C96" s="9"/>
      <c r="D96" s="1"/>
      <c r="E96" s="1"/>
      <c r="F96" s="1"/>
      <c r="G96" s="1"/>
      <c r="H96" s="1"/>
    </row>
    <row r="97" spans="2:8" x14ac:dyDescent="0.45">
      <c r="B97" s="9"/>
      <c r="C97" s="9"/>
      <c r="D97" s="1"/>
      <c r="E97" s="1"/>
      <c r="F97" s="1"/>
      <c r="G97" s="1"/>
      <c r="H97" s="1"/>
    </row>
    <row r="98" spans="2:8" x14ac:dyDescent="0.45">
      <c r="B98" s="9"/>
      <c r="C98" s="9"/>
      <c r="D98" s="1"/>
      <c r="E98" s="1"/>
      <c r="F98" s="1"/>
      <c r="G98" s="1"/>
      <c r="H98" s="1"/>
    </row>
    <row r="99" spans="2:8" x14ac:dyDescent="0.45">
      <c r="B99" s="9"/>
      <c r="C99" s="9"/>
      <c r="D99" s="1"/>
      <c r="E99" s="1"/>
      <c r="F99" s="1"/>
      <c r="G99" s="1"/>
      <c r="H99" s="1"/>
    </row>
    <row r="100" spans="2:8" x14ac:dyDescent="0.45">
      <c r="B100" s="9"/>
      <c r="C100" s="9"/>
      <c r="D100" s="1"/>
      <c r="E100" s="1"/>
      <c r="F100" s="1"/>
      <c r="G100" s="1"/>
      <c r="H100" s="1"/>
    </row>
    <row r="101" spans="2:8" x14ac:dyDescent="0.45">
      <c r="B101" s="9"/>
      <c r="C101" s="9"/>
      <c r="D101" s="1"/>
      <c r="E101" s="1"/>
      <c r="F101" s="1"/>
      <c r="G101" s="1"/>
      <c r="H101" s="1"/>
    </row>
    <row r="102" spans="2:8" x14ac:dyDescent="0.45">
      <c r="B102" s="9"/>
      <c r="C102" s="9"/>
      <c r="D102" s="1"/>
      <c r="E102" s="1"/>
      <c r="F102" s="1"/>
      <c r="G102" s="1"/>
      <c r="H102" s="1"/>
    </row>
    <row r="103" spans="2:8" x14ac:dyDescent="0.45">
      <c r="B103" s="9"/>
      <c r="C103" s="9"/>
      <c r="D103" s="1"/>
      <c r="E103" s="1"/>
      <c r="F103" s="1"/>
      <c r="G103" s="1"/>
      <c r="H103" s="1"/>
    </row>
    <row r="104" spans="2:8" x14ac:dyDescent="0.45">
      <c r="B104" s="9"/>
      <c r="C104" s="9"/>
      <c r="D104" s="1"/>
      <c r="E104" s="1"/>
      <c r="F104" s="1"/>
      <c r="G104" s="1"/>
      <c r="H104" s="1"/>
    </row>
    <row r="105" spans="2:8" x14ac:dyDescent="0.45">
      <c r="B105" s="9"/>
      <c r="C105" s="9"/>
      <c r="D105" s="1"/>
      <c r="E105" s="1"/>
      <c r="F105" s="1"/>
      <c r="G105" s="1"/>
      <c r="H105" s="1"/>
    </row>
  </sheetData>
  <pageMargins left="0.70866141732283472" right="0.70866141732283472" top="0.74803149606299213" bottom="0.74803149606299213" header="0.31496062992125984" footer="0.31496062992125984"/>
  <pageSetup paperSize="8" orientation="landscape" r:id="rId1"/>
  <headerFooter>
    <oddHeader xml:space="preserve">&amp;C&amp;9Introduktion til dialog- og prioriteringsværktøj &amp;"-,Fed"&amp;11
&amp;R&amp;9 1. maj 2016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7030A0"/>
    <pageSetUpPr fitToPage="1"/>
  </sheetPr>
  <dimension ref="A1:AA306"/>
  <sheetViews>
    <sheetView view="pageLayout" zoomScale="70" zoomScaleNormal="87" zoomScalePageLayoutView="70" workbookViewId="0">
      <selection activeCell="B15" sqref="B15:B20"/>
    </sheetView>
  </sheetViews>
  <sheetFormatPr defaultColWidth="8.73046875" defaultRowHeight="21" x14ac:dyDescent="0.65"/>
  <cols>
    <col min="1" max="1" width="6.3984375" style="226" customWidth="1"/>
    <col min="2" max="2" width="17.73046875" style="217" customWidth="1"/>
    <col min="3" max="3" width="29.59765625" style="217" customWidth="1"/>
    <col min="4" max="4" width="9.265625" style="281" customWidth="1"/>
    <col min="5" max="7" width="9.265625" style="217" customWidth="1"/>
    <col min="8" max="8" width="12.73046875" style="217" customWidth="1"/>
    <col min="9" max="16" width="8.73046875" style="229" customWidth="1"/>
    <col min="17" max="17" width="42.73046875" style="235" customWidth="1"/>
    <col min="18" max="22" width="8.73046875" style="30"/>
    <col min="23" max="23" width="12" style="30" hidden="1" customWidth="1"/>
    <col min="24" max="25" width="8.73046875" style="30" hidden="1" customWidth="1"/>
    <col min="26" max="27" width="0" style="30" hidden="1" customWidth="1"/>
    <col min="28" max="16384" width="8.73046875" style="30"/>
  </cols>
  <sheetData>
    <row r="1" spans="1:27" ht="30.6" customHeight="1" x14ac:dyDescent="0.65">
      <c r="D1" s="792" t="s">
        <v>165</v>
      </c>
      <c r="E1" s="792"/>
      <c r="F1" s="792" t="s">
        <v>166</v>
      </c>
      <c r="G1" s="792"/>
    </row>
    <row r="2" spans="1:27" ht="39.4" x14ac:dyDescent="0.45">
      <c r="A2" s="236"/>
      <c r="B2" s="575" t="s">
        <v>118</v>
      </c>
      <c r="C2" s="575" t="s">
        <v>167</v>
      </c>
      <c r="D2" s="286" t="s">
        <v>168</v>
      </c>
      <c r="E2" s="287" t="s">
        <v>932</v>
      </c>
      <c r="F2" s="286" t="str">
        <f>IF(Projektforudsætninger!B14="Ja","Antal centicubes tildelt","-")</f>
        <v>-</v>
      </c>
      <c r="G2" s="287" t="str">
        <f>IF(Projektforudsætninger!B14="Ja","Antal centicubes fravalgt","-")</f>
        <v>-</v>
      </c>
      <c r="I2" s="575" t="str">
        <f>Projektforudsætninger!C20</f>
        <v>-1</v>
      </c>
      <c r="J2" s="597" t="str">
        <f>Projektforudsætninger!C21</f>
        <v>-2-</v>
      </c>
      <c r="K2" s="597" t="str">
        <f>Projektforudsætninger!C22</f>
        <v>-3-</v>
      </c>
      <c r="L2" s="597" t="str">
        <f>Projektforudsætninger!C23</f>
        <v>-4-</v>
      </c>
      <c r="M2" s="597" t="str">
        <f>Projektforudsætninger!C24</f>
        <v>-5-</v>
      </c>
      <c r="N2" s="597" t="str">
        <f>Projektforudsætninger!C25</f>
        <v>-6-</v>
      </c>
      <c r="O2" s="597" t="str">
        <f>Projektforudsætninger!C26</f>
        <v>-7-</v>
      </c>
      <c r="P2" s="597" t="str">
        <f>Projektforudsætninger!C19</f>
        <v>Ikke relevant</v>
      </c>
      <c r="Q2" s="575" t="s">
        <v>169</v>
      </c>
      <c r="W2" s="30" t="s">
        <v>9</v>
      </c>
      <c r="Y2" s="30" t="s">
        <v>9</v>
      </c>
    </row>
    <row r="3" spans="1:27" s="222" customFormat="1" ht="15" customHeight="1" x14ac:dyDescent="0.45">
      <c r="A3" s="793" t="str">
        <f>'Dialogpart 1'!A3</f>
        <v>MILJØ KVALITET</v>
      </c>
      <c r="B3" s="794" t="str">
        <f>Arbejdsark!A4</f>
        <v>Materialer</v>
      </c>
      <c r="C3" s="779" t="str">
        <f>Arbejdsark!C4</f>
        <v>Mulighed for genbrug ved ombygning og bortskaffelse</v>
      </c>
      <c r="D3" s="282">
        <f>Arbejdsark!O5</f>
        <v>4</v>
      </c>
      <c r="E3" s="282">
        <f>D3-D3</f>
        <v>0</v>
      </c>
      <c r="F3" s="282" t="str">
        <f>IF(Projektforudsætninger!B14="Ja",Arbejdsark!U5,"-")</f>
        <v>-</v>
      </c>
      <c r="G3" s="282" t="str">
        <f>IF(Projektforudsætninger!$B$14="Ja",F3-F3,"-")</f>
        <v>-</v>
      </c>
      <c r="H3" s="237" t="s">
        <v>498</v>
      </c>
      <c r="I3" s="238" t="str">
        <f>IF('Sortering af spørgsmål'!$C$6=Projektforudsætninger!$C$20,"","-")</f>
        <v>-</v>
      </c>
      <c r="J3" s="238" t="str">
        <f>IF('Sortering af spørgsmål'!$C$6=Projektforudsætninger!$C$21,"","-")</f>
        <v>-</v>
      </c>
      <c r="K3" s="238" t="str">
        <f>IF('Sortering af spørgsmål'!$C$6=Projektforudsætninger!$C$22,"","-")</f>
        <v>-</v>
      </c>
      <c r="L3" s="238" t="str">
        <f>IF('Sortering af spørgsmål'!$C$6=Projektforudsætninger!$C$23,"","-")</f>
        <v>-</v>
      </c>
      <c r="M3" s="238" t="str">
        <f>IF('Sortering af spørgsmål'!$C$6=Projektforudsætninger!$C$24,"","-")</f>
        <v>-</v>
      </c>
      <c r="N3" s="238" t="str">
        <f>IF('Sortering af spørgsmål'!$C$6=Projektforudsætninger!$C$25,"","-")</f>
        <v>-</v>
      </c>
      <c r="O3" s="238" t="str">
        <f>IF('Sortering af spørgsmål'!$C$6=Projektforudsætninger!$C$26,"","-")</f>
        <v>-</v>
      </c>
      <c r="P3" s="238" t="str">
        <f>IF('Sortering af spørgsmål'!$C$6=Projektforudsætninger!$C$19,"","-")</f>
        <v>-</v>
      </c>
      <c r="Q3" s="252"/>
      <c r="W3" s="567" t="s">
        <v>170</v>
      </c>
      <c r="Y3" s="31" t="s">
        <v>171</v>
      </c>
      <c r="AA3" s="222" t="s">
        <v>9</v>
      </c>
    </row>
    <row r="4" spans="1:27" ht="15" customHeight="1" x14ac:dyDescent="0.45">
      <c r="A4" s="793"/>
      <c r="B4" s="794"/>
      <c r="C4" s="779"/>
      <c r="D4" s="283">
        <f>Arbejdsark!O6</f>
        <v>2</v>
      </c>
      <c r="E4" s="283">
        <f>D3-D4</f>
        <v>2</v>
      </c>
      <c r="F4" s="283" t="str">
        <f>IF(Projektforudsætninger!B14="Ja",Arbejdsark!U6,"-")</f>
        <v>-</v>
      </c>
      <c r="G4" s="283" t="str">
        <f>IF(Projektforudsætninger!$B$14="Ja",F3-F4,"-")</f>
        <v>-</v>
      </c>
      <c r="H4" s="239" t="s">
        <v>499</v>
      </c>
      <c r="I4" s="240" t="str">
        <f>IF('Sortering af spørgsmål'!$C$6=Projektforudsætninger!$C$20,"","-")</f>
        <v>-</v>
      </c>
      <c r="J4" s="240" t="str">
        <f>IF('Sortering af spørgsmål'!$C$6=Projektforudsætninger!$C$21,"","-")</f>
        <v>-</v>
      </c>
      <c r="K4" s="240" t="str">
        <f>IF('Sortering af spørgsmål'!$C$6=Projektforudsætninger!$C$22,"","-")</f>
        <v>-</v>
      </c>
      <c r="L4" s="240" t="str">
        <f>IF('Sortering af spørgsmål'!$C$6=Projektforudsætninger!$C$23,"","-")</f>
        <v>-</v>
      </c>
      <c r="M4" s="240" t="str">
        <f>IF('Sortering af spørgsmål'!$C$6=Projektforudsætninger!$C$24,"","-")</f>
        <v>-</v>
      </c>
      <c r="N4" s="240" t="str">
        <f>IF('Sortering af spørgsmål'!$C$6=Projektforudsætninger!$C$25,"","-")</f>
        <v>-</v>
      </c>
      <c r="O4" s="240" t="str">
        <f>IF('Sortering af spørgsmål'!$C$6=Projektforudsætninger!$C$26,"","-")</f>
        <v>-</v>
      </c>
      <c r="P4" s="240" t="str">
        <f>IF('Sortering af spørgsmål'!$C$6=Projektforudsætninger!$C$19,"","-")</f>
        <v>-</v>
      </c>
      <c r="Q4" s="253"/>
      <c r="W4" s="567"/>
      <c r="Y4" s="31"/>
    </row>
    <row r="5" spans="1:27" ht="15" customHeight="1" x14ac:dyDescent="0.45">
      <c r="A5" s="793"/>
      <c r="B5" s="794"/>
      <c r="C5" s="779"/>
      <c r="D5" s="284">
        <f>Arbejdsark!O7</f>
        <v>1</v>
      </c>
      <c r="E5" s="284">
        <f>D3-D5</f>
        <v>3</v>
      </c>
      <c r="F5" s="284" t="str">
        <f>IF(Projektforudsætninger!B14="Ja",Arbejdsark!U7,"-")</f>
        <v>-</v>
      </c>
      <c r="G5" s="284" t="str">
        <f>IF(Projektforudsætninger!$B$14="Ja",F3-F5,"-")</f>
        <v>-</v>
      </c>
      <c r="H5" s="241" t="s">
        <v>495</v>
      </c>
      <c r="I5" s="242" t="str">
        <f>IF('Sortering af spørgsmål'!$C$6=Projektforudsætninger!$C$20,"","-")</f>
        <v>-</v>
      </c>
      <c r="J5" s="242" t="str">
        <f>IF('Sortering af spørgsmål'!$C$6=Projektforudsætninger!$C$21,"","-")</f>
        <v>-</v>
      </c>
      <c r="K5" s="242" t="str">
        <f>IF('Sortering af spørgsmål'!$C$6=Projektforudsætninger!$C$22,"","-")</f>
        <v>-</v>
      </c>
      <c r="L5" s="242" t="str">
        <f>IF('Sortering af spørgsmål'!$C$6=Projektforudsætninger!$C$23,"","-")</f>
        <v>-</v>
      </c>
      <c r="M5" s="242" t="str">
        <f>IF('Sortering af spørgsmål'!$C$6=Projektforudsætninger!$C$24,"","-")</f>
        <v>-</v>
      </c>
      <c r="N5" s="242" t="str">
        <f>IF('Sortering af spørgsmål'!$C$6=Projektforudsætninger!$C$25,"","-")</f>
        <v>-</v>
      </c>
      <c r="O5" s="242" t="str">
        <f>IF('Sortering af spørgsmål'!$C$6=Projektforudsætninger!$C$26,"","-")</f>
        <v>-</v>
      </c>
      <c r="P5" s="242" t="str">
        <f>IF('Sortering af spørgsmål'!$C$6=Projektforudsætninger!$C$19,"","-")</f>
        <v>-</v>
      </c>
      <c r="Q5" s="253"/>
      <c r="W5" s="220"/>
      <c r="Y5" s="221"/>
    </row>
    <row r="6" spans="1:27" s="222" customFormat="1" ht="15" customHeight="1" x14ac:dyDescent="0.45">
      <c r="A6" s="793"/>
      <c r="B6" s="794"/>
      <c r="C6" s="779" t="str">
        <f>Arbejdsark!C10</f>
        <v xml:space="preserve">Giftige stoffer </v>
      </c>
      <c r="D6" s="282">
        <f>Arbejdsark!O11</f>
        <v>7</v>
      </c>
      <c r="E6" s="282">
        <f>D6-D6</f>
        <v>0</v>
      </c>
      <c r="F6" s="282" t="str">
        <f>IF(Projektforudsætninger!B14="Ja",Arbejdsark!U11,"-")</f>
        <v>-</v>
      </c>
      <c r="G6" s="282" t="str">
        <f>IF(Projektforudsætninger!$B$14="Ja",F6-F6,"-")</f>
        <v>-</v>
      </c>
      <c r="H6" s="237" t="s">
        <v>498</v>
      </c>
      <c r="I6" s="238" t="str">
        <f>IF('Sortering af spørgsmål'!$C$6=Projektforudsætninger!$C$20,"","-")</f>
        <v>-</v>
      </c>
      <c r="J6" s="238" t="str">
        <f>IF('Sortering af spørgsmål'!$C$6=Projektforudsætninger!$C$21,"","-")</f>
        <v>-</v>
      </c>
      <c r="K6" s="238" t="str">
        <f>IF('Sortering af spørgsmål'!$C$6=Projektforudsætninger!$C$22,"","-")</f>
        <v>-</v>
      </c>
      <c r="L6" s="238" t="str">
        <f>IF('Sortering af spørgsmål'!$C$6=Projektforudsætninger!$C$23,"","-")</f>
        <v>-</v>
      </c>
      <c r="M6" s="238" t="str">
        <f>IF('Sortering af spørgsmål'!$C$6=Projektforudsætninger!$C$24,"","-")</f>
        <v>-</v>
      </c>
      <c r="N6" s="238" t="str">
        <f>IF('Sortering af spørgsmål'!$C$6=Projektforudsætninger!$C$25,"","-")</f>
        <v>-</v>
      </c>
      <c r="O6" s="238" t="str">
        <f>IF('Sortering af spørgsmål'!$C$6=Projektforudsætninger!$C$26,"","-")</f>
        <v>-</v>
      </c>
      <c r="P6" s="238" t="str">
        <f>IF('Sortering af spørgsmål'!$C$6=Projektforudsætninger!$C$19,"","-")</f>
        <v>-</v>
      </c>
      <c r="Q6" s="252"/>
      <c r="W6" s="567"/>
      <c r="Y6" s="31"/>
    </row>
    <row r="7" spans="1:27" ht="15" customHeight="1" x14ac:dyDescent="0.45">
      <c r="A7" s="793"/>
      <c r="B7" s="794"/>
      <c r="C7" s="779"/>
      <c r="D7" s="283">
        <f>Arbejdsark!O12</f>
        <v>5</v>
      </c>
      <c r="E7" s="283">
        <f>D6-D7</f>
        <v>2</v>
      </c>
      <c r="F7" s="283" t="str">
        <f>IF(Projektforudsætninger!B14="Ja",Arbejdsark!U12,"-")</f>
        <v>-</v>
      </c>
      <c r="G7" s="283" t="str">
        <f>IF(Projektforudsætninger!$B$14="Ja",F6-F7,"-")</f>
        <v>-</v>
      </c>
      <c r="H7" s="239" t="s">
        <v>499</v>
      </c>
      <c r="I7" s="240" t="str">
        <f>IF('Sortering af spørgsmål'!$C$6=Projektforudsætninger!$C$20,"","-")</f>
        <v>-</v>
      </c>
      <c r="J7" s="240" t="str">
        <f>IF('Sortering af spørgsmål'!$C$6=Projektforudsætninger!$C$21,"","-")</f>
        <v>-</v>
      </c>
      <c r="K7" s="240" t="str">
        <f>IF('Sortering af spørgsmål'!$C$6=Projektforudsætninger!$C$22,"","-")</f>
        <v>-</v>
      </c>
      <c r="L7" s="240" t="str">
        <f>IF('Sortering af spørgsmål'!$C$6=Projektforudsætninger!$C$23,"","-")</f>
        <v>-</v>
      </c>
      <c r="M7" s="240" t="str">
        <f>IF('Sortering af spørgsmål'!$C$6=Projektforudsætninger!$C$24,"","-")</f>
        <v>-</v>
      </c>
      <c r="N7" s="240" t="str">
        <f>IF('Sortering af spørgsmål'!$C$6=Projektforudsætninger!$C$25,"","-")</f>
        <v>-</v>
      </c>
      <c r="O7" s="240" t="str">
        <f>IF('Sortering af spørgsmål'!$C$6=Projektforudsætninger!$C$26,"","-")</f>
        <v>-</v>
      </c>
      <c r="P7" s="240" t="str">
        <f>IF('Sortering af spørgsmål'!$C$6=Projektforudsætninger!$C$19,"","-")</f>
        <v>-</v>
      </c>
      <c r="Q7" s="253"/>
      <c r="W7" s="567"/>
      <c r="Y7" s="31"/>
    </row>
    <row r="8" spans="1:27" ht="15" customHeight="1" x14ac:dyDescent="0.45">
      <c r="A8" s="793"/>
      <c r="B8" s="794"/>
      <c r="C8" s="779"/>
      <c r="D8" s="284">
        <f>Arbejdsark!O13</f>
        <v>0</v>
      </c>
      <c r="E8" s="284">
        <f>D6-D8</f>
        <v>7</v>
      </c>
      <c r="F8" s="284" t="str">
        <f>IF(Projektforudsætninger!B14="Ja",Arbejdsark!U13,"-")</f>
        <v>-</v>
      </c>
      <c r="G8" s="284" t="str">
        <f>IF(Projektforudsætninger!$B$14="Ja",F6-F8,"-")</f>
        <v>-</v>
      </c>
      <c r="H8" s="241" t="s">
        <v>495</v>
      </c>
      <c r="I8" s="242" t="str">
        <f>IF('Sortering af spørgsmål'!$C$6=Projektforudsætninger!$C$20,"","-")</f>
        <v>-</v>
      </c>
      <c r="J8" s="242" t="str">
        <f>IF('Sortering af spørgsmål'!$C$6=Projektforudsætninger!$C$21,"","-")</f>
        <v>-</v>
      </c>
      <c r="K8" s="242" t="str">
        <f>IF('Sortering af spørgsmål'!$C$6=Projektforudsætninger!$C$22,"","-")</f>
        <v>-</v>
      </c>
      <c r="L8" s="242" t="str">
        <f>IF('Sortering af spørgsmål'!$C$6=Projektforudsætninger!$C$23,"","-")</f>
        <v>-</v>
      </c>
      <c r="M8" s="242" t="str">
        <f>IF('Sortering af spørgsmål'!$C$6=Projektforudsætninger!$C$24,"","-")</f>
        <v>-</v>
      </c>
      <c r="N8" s="242" t="str">
        <f>IF('Sortering af spørgsmål'!$C$6=Projektforudsætninger!$C$25,"","-")</f>
        <v>-</v>
      </c>
      <c r="O8" s="242" t="str">
        <f>IF('Sortering af spørgsmål'!$C$6=Projektforudsætninger!$C$26,"","-")</f>
        <v>-</v>
      </c>
      <c r="P8" s="242" t="str">
        <f>IF('Sortering af spørgsmål'!$C$6=Projektforudsætninger!$C$19,"","-")</f>
        <v>-</v>
      </c>
      <c r="Q8" s="253"/>
      <c r="W8" s="220"/>
      <c r="Y8" s="221"/>
    </row>
    <row r="9" spans="1:27" s="223" customFormat="1" ht="15" customHeight="1" x14ac:dyDescent="0.45">
      <c r="A9" s="793"/>
      <c r="B9" s="794"/>
      <c r="C9" s="779" t="str">
        <f>Arbejdsark!C15</f>
        <v>Ansvarlig fremskaffelse af produkter</v>
      </c>
      <c r="D9" s="282">
        <f>Arbejdsark!O16</f>
        <v>2</v>
      </c>
      <c r="E9" s="282">
        <f>D9-D9</f>
        <v>0</v>
      </c>
      <c r="F9" s="282" t="str">
        <f>IF(Projektforudsætninger!B14="Ja",Arbejdsark!U16,"-")</f>
        <v>-</v>
      </c>
      <c r="G9" s="282" t="str">
        <f>IF(Projektforudsætninger!$B$14="Ja",F9-F9,"-")</f>
        <v>-</v>
      </c>
      <c r="H9" s="237" t="s">
        <v>498</v>
      </c>
      <c r="I9" s="238" t="str">
        <f>IF('Sortering af spørgsmål'!$C$6=Projektforudsætninger!$C$20,"","-")</f>
        <v>-</v>
      </c>
      <c r="J9" s="238" t="str">
        <f>IF('Sortering af spørgsmål'!$C$6=Projektforudsætninger!$C$21,"","-")</f>
        <v>-</v>
      </c>
      <c r="K9" s="238" t="str">
        <f>IF('Sortering af spørgsmål'!$C$6=Projektforudsætninger!$C$22,"","-")</f>
        <v>-</v>
      </c>
      <c r="L9" s="238" t="str">
        <f>IF('Sortering af spørgsmål'!$C$6=Projektforudsætninger!$C$23,"","-")</f>
        <v>-</v>
      </c>
      <c r="M9" s="238" t="str">
        <f>IF('Sortering af spørgsmål'!$C$6=Projektforudsætninger!$C$24,"","-")</f>
        <v>-</v>
      </c>
      <c r="N9" s="238" t="str">
        <f>IF('Sortering af spørgsmål'!$C$6=Projektforudsætninger!$C$25,"","-")</f>
        <v>-</v>
      </c>
      <c r="O9" s="238" t="str">
        <f>IF('Sortering af spørgsmål'!$C$6=Projektforudsætninger!$C$26,"","-")</f>
        <v>-</v>
      </c>
      <c r="P9" s="238" t="str">
        <f>IF('Sortering af spørgsmål'!$C$6=Projektforudsætninger!$C$19,"","-")</f>
        <v>-</v>
      </c>
      <c r="Q9" s="252"/>
      <c r="W9" s="567" t="s">
        <v>172</v>
      </c>
      <c r="X9" s="222"/>
      <c r="Y9" s="31" t="s">
        <v>173</v>
      </c>
      <c r="Z9" s="222"/>
      <c r="AA9" s="567" t="s">
        <v>172</v>
      </c>
    </row>
    <row r="10" spans="1:27" ht="15" customHeight="1" x14ac:dyDescent="0.45">
      <c r="A10" s="793"/>
      <c r="B10" s="794"/>
      <c r="C10" s="779"/>
      <c r="D10" s="283">
        <f>Arbejdsark!O17</f>
        <v>1</v>
      </c>
      <c r="E10" s="283">
        <f>D9-D10</f>
        <v>1</v>
      </c>
      <c r="F10" s="283" t="str">
        <f>IF(Projektforudsætninger!B14="Ja",Arbejdsark!U17,"-")</f>
        <v>-</v>
      </c>
      <c r="G10" s="283" t="str">
        <f>IF(Projektforudsætninger!$B$14="Ja",F9-F10,"-")</f>
        <v>-</v>
      </c>
      <c r="H10" s="239" t="s">
        <v>499</v>
      </c>
      <c r="I10" s="240" t="str">
        <f>IF('Sortering af spørgsmål'!$C$6=Projektforudsætninger!$C$20,"","-")</f>
        <v>-</v>
      </c>
      <c r="J10" s="240" t="str">
        <f>IF('Sortering af spørgsmål'!$C$6=Projektforudsætninger!$C$21,"","-")</f>
        <v>-</v>
      </c>
      <c r="K10" s="240" t="str">
        <f>IF('Sortering af spørgsmål'!$C$6=Projektforudsætninger!$C$22,"","-")</f>
        <v>-</v>
      </c>
      <c r="L10" s="240" t="str">
        <f>IF('Sortering af spørgsmål'!$C$6=Projektforudsætninger!$C$23,"","-")</f>
        <v>-</v>
      </c>
      <c r="M10" s="240" t="str">
        <f>IF('Sortering af spørgsmål'!$C$6=Projektforudsætninger!$C$24,"","-")</f>
        <v>-</v>
      </c>
      <c r="N10" s="240" t="str">
        <f>IF('Sortering af spørgsmål'!$C$6=Projektforudsætninger!$C$25,"","-")</f>
        <v>-</v>
      </c>
      <c r="O10" s="240" t="str">
        <f>IF('Sortering af spørgsmål'!$C$6=Projektforudsætninger!$C$26,"","-")</f>
        <v>-</v>
      </c>
      <c r="P10" s="240" t="str">
        <f>IF('Sortering af spørgsmål'!$C$6=Projektforudsætninger!$C$19,"","-")</f>
        <v>-</v>
      </c>
      <c r="Q10" s="253"/>
      <c r="W10" s="567" t="s">
        <v>174</v>
      </c>
      <c r="Y10" s="31" t="s">
        <v>12</v>
      </c>
      <c r="AA10" s="567" t="s">
        <v>174</v>
      </c>
    </row>
    <row r="11" spans="1:27" ht="15" customHeight="1" x14ac:dyDescent="0.45">
      <c r="A11" s="793"/>
      <c r="B11" s="794"/>
      <c r="C11" s="779"/>
      <c r="D11" s="284">
        <f>Arbejdsark!O18</f>
        <v>0</v>
      </c>
      <c r="E11" s="284">
        <f>D9-D11</f>
        <v>2</v>
      </c>
      <c r="F11" s="284" t="str">
        <f>IF(Projektforudsætninger!B14="Ja",Arbejdsark!U18,"-")</f>
        <v>-</v>
      </c>
      <c r="G11" s="284" t="str">
        <f>IF(Projektforudsætninger!$B$14="Ja",F9-F11,"-")</f>
        <v>-</v>
      </c>
      <c r="H11" s="241" t="s">
        <v>495</v>
      </c>
      <c r="I11" s="242" t="str">
        <f>IF('Sortering af spørgsmål'!$C$6=Projektforudsætninger!$C$20,"","-")</f>
        <v>-</v>
      </c>
      <c r="J11" s="242" t="str">
        <f>IF('Sortering af spørgsmål'!$C$6=Projektforudsætninger!$C$21,"","-")</f>
        <v>-</v>
      </c>
      <c r="K11" s="242" t="str">
        <f>IF('Sortering af spørgsmål'!$C$6=Projektforudsætninger!$C$22,"","-")</f>
        <v>-</v>
      </c>
      <c r="L11" s="242" t="str">
        <f>IF('Sortering af spørgsmål'!$C$6=Projektforudsætninger!$C$23,"","-")</f>
        <v>-</v>
      </c>
      <c r="M11" s="242" t="str">
        <f>IF('Sortering af spørgsmål'!$C$6=Projektforudsætninger!$C$24,"","-")</f>
        <v>-</v>
      </c>
      <c r="N11" s="242" t="str">
        <f>IF('Sortering af spørgsmål'!$C$6=Projektforudsætninger!$C$25,"","-")</f>
        <v>-</v>
      </c>
      <c r="O11" s="242" t="str">
        <f>IF('Sortering af spørgsmål'!$C$6=Projektforudsætninger!$C$26,"","-")</f>
        <v>-</v>
      </c>
      <c r="P11" s="242" t="str">
        <f>IF('Sortering af spørgsmål'!$C$6=Projektforudsætninger!$C$19,"","-")</f>
        <v>-</v>
      </c>
      <c r="Q11" s="253"/>
      <c r="W11" s="220" t="s">
        <v>175</v>
      </c>
      <c r="AA11" s="220" t="s">
        <v>175</v>
      </c>
    </row>
    <row r="12" spans="1:27" s="222" customFormat="1" ht="15" customHeight="1" x14ac:dyDescent="0.45">
      <c r="A12" s="793"/>
      <c r="B12" s="794"/>
      <c r="C12" s="779" t="str">
        <f>Arbejdsark!C20</f>
        <v>Miljøbelastning</v>
      </c>
      <c r="D12" s="282">
        <f>Arbejdsark!O21</f>
        <v>10</v>
      </c>
      <c r="E12" s="282">
        <f>D12-D12</f>
        <v>0</v>
      </c>
      <c r="F12" s="282" t="str">
        <f>IF(Projektforudsætninger!B14="Ja",Arbejdsark!U21,"-")</f>
        <v>-</v>
      </c>
      <c r="G12" s="282" t="str">
        <f>IF(Projektforudsætninger!$B$14="Ja",F12-F12,"-")</f>
        <v>-</v>
      </c>
      <c r="H12" s="237" t="s">
        <v>498</v>
      </c>
      <c r="I12" s="238" t="str">
        <f>IF('Sortering af spørgsmål'!$C$6=Projektforudsætninger!$C$20,"","-")</f>
        <v>-</v>
      </c>
      <c r="J12" s="238" t="str">
        <f>IF('Sortering af spørgsmål'!$C$6=Projektforudsætninger!$C$21,"","-")</f>
        <v>-</v>
      </c>
      <c r="K12" s="238" t="str">
        <f>IF('Sortering af spørgsmål'!$C$6=Projektforudsætninger!$C$22,"","-")</f>
        <v>-</v>
      </c>
      <c r="L12" s="238" t="str">
        <f>IF('Sortering af spørgsmål'!$C$6=Projektforudsætninger!$C$23,"","-")</f>
        <v>-</v>
      </c>
      <c r="M12" s="238" t="str">
        <f>IF('Sortering af spørgsmål'!$C$6=Projektforudsætninger!$C$24,"","-")</f>
        <v>-</v>
      </c>
      <c r="N12" s="238" t="str">
        <f>IF('Sortering af spørgsmål'!$C$6=Projektforudsætninger!$C$25,"","-")</f>
        <v>-</v>
      </c>
      <c r="O12" s="238" t="str">
        <f>IF('Sortering af spørgsmål'!$C$6=Projektforudsætninger!$C$26,"","-")</f>
        <v>-</v>
      </c>
      <c r="P12" s="238" t="str">
        <f>IF('Sortering af spørgsmål'!$C$6=Projektforudsætninger!$C$19,"","-")</f>
        <v>-</v>
      </c>
      <c r="Q12" s="252"/>
    </row>
    <row r="13" spans="1:27" ht="15" customHeight="1" x14ac:dyDescent="0.45">
      <c r="A13" s="793"/>
      <c r="B13" s="794"/>
      <c r="C13" s="779"/>
      <c r="D13" s="283">
        <f>Arbejdsark!O22</f>
        <v>8</v>
      </c>
      <c r="E13" s="283">
        <f>D12-D13</f>
        <v>2</v>
      </c>
      <c r="F13" s="283" t="str">
        <f>IF(Projektforudsætninger!B14="Ja",Arbejdsark!U22,"-")</f>
        <v>-</v>
      </c>
      <c r="G13" s="283" t="str">
        <f>IF(Projektforudsætninger!$B$14="Ja",F12-F13,"-")</f>
        <v>-</v>
      </c>
      <c r="H13" s="239" t="s">
        <v>499</v>
      </c>
      <c r="I13" s="240" t="str">
        <f>IF('Sortering af spørgsmål'!$C$6=Projektforudsætninger!$C$20,"","-")</f>
        <v>-</v>
      </c>
      <c r="J13" s="240" t="str">
        <f>IF('Sortering af spørgsmål'!$C$6=Projektforudsætninger!$C$21,"","-")</f>
        <v>-</v>
      </c>
      <c r="K13" s="240" t="str">
        <f>IF('Sortering af spørgsmål'!$C$6=Projektforudsætninger!$C$22,"","-")</f>
        <v>-</v>
      </c>
      <c r="L13" s="240" t="str">
        <f>IF('Sortering af spørgsmål'!$C$6=Projektforudsætninger!$C$23,"","-")</f>
        <v>-</v>
      </c>
      <c r="M13" s="240" t="str">
        <f>IF('Sortering af spørgsmål'!$C$6=Projektforudsætninger!$C$24,"","-")</f>
        <v>-</v>
      </c>
      <c r="N13" s="240" t="str">
        <f>IF('Sortering af spørgsmål'!$C$6=Projektforudsætninger!$C$25,"","-")</f>
        <v>-</v>
      </c>
      <c r="O13" s="240" t="str">
        <f>IF('Sortering af spørgsmål'!$C$6=Projektforudsætninger!$C$26,"","-")</f>
        <v>-</v>
      </c>
      <c r="P13" s="240" t="str">
        <f>IF('Sortering af spørgsmål'!$C$6=Projektforudsætninger!$C$19,"","-")</f>
        <v>-</v>
      </c>
      <c r="Q13" s="253"/>
      <c r="R13" s="19"/>
      <c r="Y13" s="30">
        <v>1</v>
      </c>
    </row>
    <row r="14" spans="1:27" ht="15" customHeight="1" x14ac:dyDescent="0.45">
      <c r="A14" s="793"/>
      <c r="B14" s="794"/>
      <c r="C14" s="779"/>
      <c r="D14" s="284">
        <f>Arbejdsark!O23</f>
        <v>5</v>
      </c>
      <c r="E14" s="284">
        <f>D12-D14</f>
        <v>5</v>
      </c>
      <c r="F14" s="284" t="str">
        <f>IF(Projektforudsætninger!B14="Ja",Arbejdsark!U23,"-")</f>
        <v>-</v>
      </c>
      <c r="G14" s="284" t="str">
        <f>IF(Projektforudsætninger!$B$14="Ja",F12-F14,"-")</f>
        <v>-</v>
      </c>
      <c r="H14" s="241" t="s">
        <v>495</v>
      </c>
      <c r="I14" s="242" t="str">
        <f>IF('Sortering af spørgsmål'!$C$6=Projektforudsætninger!$C$20,"","-")</f>
        <v>-</v>
      </c>
      <c r="J14" s="242" t="str">
        <f>IF('Sortering af spørgsmål'!$C$6=Projektforudsætninger!$C$21,"","-")</f>
        <v>-</v>
      </c>
      <c r="K14" s="242" t="str">
        <f>IF('Sortering af spørgsmål'!$C$6=Projektforudsætninger!$C$22,"","-")</f>
        <v>-</v>
      </c>
      <c r="L14" s="242" t="str">
        <f>IF('Sortering af spørgsmål'!$C$6=Projektforudsætninger!$C$23,"","-")</f>
        <v>-</v>
      </c>
      <c r="M14" s="242" t="str">
        <f>IF('Sortering af spørgsmål'!$C$6=Projektforudsætninger!$C$24,"","-")</f>
        <v>-</v>
      </c>
      <c r="N14" s="242" t="str">
        <f>IF('Sortering af spørgsmål'!$C$6=Projektforudsætninger!$C$25,"","-")</f>
        <v>-</v>
      </c>
      <c r="O14" s="242" t="str">
        <f>IF('Sortering af spørgsmål'!$C$6=Projektforudsætninger!$C$26,"","-")</f>
        <v>-</v>
      </c>
      <c r="P14" s="242" t="str">
        <f>IF('Sortering af spørgsmål'!$C$6=Projektforudsætninger!$C$19,"","-")</f>
        <v>-</v>
      </c>
      <c r="Q14" s="253"/>
      <c r="W14" s="220" t="s">
        <v>10</v>
      </c>
      <c r="Y14" s="30">
        <v>2</v>
      </c>
    </row>
    <row r="15" spans="1:27" s="222" customFormat="1" ht="15" customHeight="1" x14ac:dyDescent="0.45">
      <c r="A15" s="793"/>
      <c r="B15" s="787" t="str">
        <f>Arbejdsark!A25</f>
        <v>Energi</v>
      </c>
      <c r="C15" s="779" t="str">
        <f>Arbejdsark!C25</f>
        <v>Andel af vedvarende energi</v>
      </c>
      <c r="D15" s="282">
        <f>Arbejdsark!O26</f>
        <v>2</v>
      </c>
      <c r="E15" s="282">
        <f>D15-D15</f>
        <v>0</v>
      </c>
      <c r="F15" s="282" t="str">
        <f>IF(Projektforudsætninger!B14="Ja",Arbejdsark!U26,"-")</f>
        <v>-</v>
      </c>
      <c r="G15" s="282" t="str">
        <f>IF(Projektforudsætninger!$B$14="Ja",F15-F15,"-")</f>
        <v>-</v>
      </c>
      <c r="H15" s="237" t="s">
        <v>498</v>
      </c>
      <c r="I15" s="243" t="str">
        <f>IF('Sortering af spørgsmål'!$C$7=Projektforudsætninger!$C$20,"","-")</f>
        <v>-</v>
      </c>
      <c r="J15" s="243" t="str">
        <f>IF('Sortering af spørgsmål'!$C$7=Projektforudsætninger!$C$21,"","-")</f>
        <v>-</v>
      </c>
      <c r="K15" s="243" t="str">
        <f>IF('Sortering af spørgsmål'!$C$7=Projektforudsætninger!$C$22,"","-")</f>
        <v>-</v>
      </c>
      <c r="L15" s="243" t="str">
        <f>IF('Sortering af spørgsmål'!$C$7=Projektforudsætninger!$C$23,"","-")</f>
        <v>-</v>
      </c>
      <c r="M15" s="243" t="str">
        <f>IF('Sortering af spørgsmål'!$C$7=Projektforudsætninger!$C$24,"","-")</f>
        <v>-</v>
      </c>
      <c r="N15" s="243" t="str">
        <f>IF('Sortering af spørgsmål'!$C$7=Projektforudsætninger!$C$25,"","-")</f>
        <v>-</v>
      </c>
      <c r="O15" s="243" t="str">
        <f>IF('Sortering af spørgsmål'!$C$7=Projektforudsætninger!$C$26,"","-")</f>
        <v>-</v>
      </c>
      <c r="P15" s="243" t="str">
        <f>IF('Sortering af spørgsmål'!$C$7=Projektforudsætninger!$C$19,"","-")</f>
        <v>-</v>
      </c>
      <c r="Q15" s="254"/>
      <c r="W15" s="567" t="s">
        <v>51</v>
      </c>
    </row>
    <row r="16" spans="1:27" ht="15" customHeight="1" x14ac:dyDescent="0.45">
      <c r="A16" s="793"/>
      <c r="B16" s="787"/>
      <c r="C16" s="779"/>
      <c r="D16" s="283">
        <f>Arbejdsark!O27</f>
        <v>1</v>
      </c>
      <c r="E16" s="283">
        <f>D15-D16</f>
        <v>1</v>
      </c>
      <c r="F16" s="283" t="str">
        <f>IF(Projektforudsætninger!B14="Ja",Arbejdsark!U27,"-")</f>
        <v>-</v>
      </c>
      <c r="G16" s="283" t="str">
        <f>IF(Projektforudsætninger!$B$14="Ja",F15-F16,"-")</f>
        <v>-</v>
      </c>
      <c r="H16" s="239" t="s">
        <v>499</v>
      </c>
      <c r="I16" s="244" t="str">
        <f>IF('Sortering af spørgsmål'!$C$7=Projektforudsætninger!$C$20,"","-")</f>
        <v>-</v>
      </c>
      <c r="J16" s="244" t="str">
        <f>IF('Sortering af spørgsmål'!$C$7=Projektforudsætninger!$C$21,"","-")</f>
        <v>-</v>
      </c>
      <c r="K16" s="244" t="str">
        <f>IF('Sortering af spørgsmål'!$C$7=Projektforudsætninger!$C$22,"","-")</f>
        <v>-</v>
      </c>
      <c r="L16" s="244" t="str">
        <f>IF('Sortering af spørgsmål'!$C$7=Projektforudsætninger!$C$23,"","-")</f>
        <v>-</v>
      </c>
      <c r="M16" s="244" t="str">
        <f>IF('Sortering af spørgsmål'!$C$7=Projektforudsætninger!$C$24,"","-")</f>
        <v>-</v>
      </c>
      <c r="N16" s="244" t="str">
        <f>IF('Sortering af spørgsmål'!$C$7=Projektforudsætninger!$C$25,"","-")</f>
        <v>-</v>
      </c>
      <c r="O16" s="244" t="str">
        <f>IF('Sortering af spørgsmål'!$C$7=Projektforudsætninger!$C$26,"","-")</f>
        <v>-</v>
      </c>
      <c r="P16" s="244" t="str">
        <f>IF('Sortering af spørgsmål'!$C$7=Projektforudsætninger!$C$19,"","-")</f>
        <v>-</v>
      </c>
      <c r="Q16" s="255"/>
      <c r="W16" s="567" t="s">
        <v>176</v>
      </c>
      <c r="Y16" s="567">
        <v>3</v>
      </c>
    </row>
    <row r="17" spans="1:27" ht="15" customHeight="1" x14ac:dyDescent="0.45">
      <c r="A17" s="793"/>
      <c r="B17" s="787"/>
      <c r="C17" s="779"/>
      <c r="D17" s="284">
        <f>Arbejdsark!O28</f>
        <v>0</v>
      </c>
      <c r="E17" s="284">
        <f>D15-D17</f>
        <v>2</v>
      </c>
      <c r="F17" s="284" t="str">
        <f>IF(Projektforudsætninger!B14="Ja",Arbejdsark!U28,"-")</f>
        <v>-</v>
      </c>
      <c r="G17" s="284" t="str">
        <f>IF(Projektforudsætninger!$B$14="Ja",F15-F17,"-")</f>
        <v>-</v>
      </c>
      <c r="H17" s="241" t="s">
        <v>495</v>
      </c>
      <c r="I17" s="245" t="str">
        <f>IF('Sortering af spørgsmål'!$C$7=Projektforudsætninger!$C$20,"","-")</f>
        <v>-</v>
      </c>
      <c r="J17" s="245" t="str">
        <f>IF('Sortering af spørgsmål'!$C$7=Projektforudsætninger!$C$21,"","-")</f>
        <v>-</v>
      </c>
      <c r="K17" s="245" t="str">
        <f>IF('Sortering af spørgsmål'!$C$7=Projektforudsætninger!$C$22,"","-")</f>
        <v>-</v>
      </c>
      <c r="L17" s="245" t="str">
        <f>IF('Sortering af spørgsmål'!$C$7=Projektforudsætninger!$C$23,"","-")</f>
        <v>-</v>
      </c>
      <c r="M17" s="245" t="str">
        <f>IF('Sortering af spørgsmål'!$C$7=Projektforudsætninger!$C$24,"","-")</f>
        <v>-</v>
      </c>
      <c r="N17" s="245" t="str">
        <f>IF('Sortering af spørgsmål'!$C$7=Projektforudsætninger!$C$25,"","-")</f>
        <v>-</v>
      </c>
      <c r="O17" s="245" t="str">
        <f>IF('Sortering af spørgsmål'!$C$7=Projektforudsætninger!$C$26,"","-")</f>
        <v>-</v>
      </c>
      <c r="P17" s="245" t="str">
        <f>IF('Sortering af spørgsmål'!$C$7=Projektforudsætninger!$C$19,"","-")</f>
        <v>-</v>
      </c>
      <c r="Q17" s="255"/>
      <c r="W17" s="220" t="s">
        <v>55</v>
      </c>
      <c r="X17" s="33"/>
      <c r="Y17" s="220">
        <v>2</v>
      </c>
      <c r="Z17" s="33"/>
      <c r="AA17" s="33"/>
    </row>
    <row r="18" spans="1:27" s="222" customFormat="1" ht="15" customHeight="1" x14ac:dyDescent="0.45">
      <c r="A18" s="793"/>
      <c r="B18" s="787"/>
      <c r="C18" s="779" t="str">
        <f>Arbejdsark!C30</f>
        <v>Krav til energiramme</v>
      </c>
      <c r="D18" s="282">
        <f>Arbejdsark!O31</f>
        <v>12</v>
      </c>
      <c r="E18" s="282">
        <f>D18-D18</f>
        <v>0</v>
      </c>
      <c r="F18" s="282" t="str">
        <f>IF(Projektforudsætninger!B14="Ja",Arbejdsark!U31,"-")</f>
        <v>-</v>
      </c>
      <c r="G18" s="282" t="str">
        <f>IF(Projektforudsætninger!$B$14="Ja",F18-F18,"-")</f>
        <v>-</v>
      </c>
      <c r="H18" s="237" t="s">
        <v>498</v>
      </c>
      <c r="I18" s="243" t="str">
        <f>IF('Sortering af spørgsmål'!$C$7=Projektforudsætninger!$C$20,"","-")</f>
        <v>-</v>
      </c>
      <c r="J18" s="243" t="str">
        <f>IF('Sortering af spørgsmål'!$C$7=Projektforudsætninger!$C$21,"","-")</f>
        <v>-</v>
      </c>
      <c r="K18" s="243" t="str">
        <f>IF('Sortering af spørgsmål'!$C$7=Projektforudsætninger!$C$22,"","-")</f>
        <v>-</v>
      </c>
      <c r="L18" s="243" t="str">
        <f>IF('Sortering af spørgsmål'!$C$7=Projektforudsætninger!$C$23,"","-")</f>
        <v>-</v>
      </c>
      <c r="M18" s="243" t="str">
        <f>IF('Sortering af spørgsmål'!$C$7=Projektforudsætninger!$C$24,"","-")</f>
        <v>-</v>
      </c>
      <c r="N18" s="243" t="str">
        <f>IF('Sortering af spørgsmål'!$C$7=Projektforudsætninger!$C$25,"","-")</f>
        <v>-</v>
      </c>
      <c r="O18" s="243" t="str">
        <f>IF('Sortering af spørgsmål'!$C$7=Projektforudsætninger!$C$26,"","-")</f>
        <v>-</v>
      </c>
      <c r="P18" s="243" t="str">
        <f>IF('Sortering af spørgsmål'!$C$7=Projektforudsætninger!$C$19,"","-")</f>
        <v>-</v>
      </c>
      <c r="Q18" s="254"/>
    </row>
    <row r="19" spans="1:27" ht="15" customHeight="1" x14ac:dyDescent="0.45">
      <c r="A19" s="793"/>
      <c r="B19" s="787"/>
      <c r="C19" s="779"/>
      <c r="D19" s="283">
        <f>Arbejdsark!O32</f>
        <v>10</v>
      </c>
      <c r="E19" s="283">
        <f>D18-D19</f>
        <v>2</v>
      </c>
      <c r="F19" s="283" t="str">
        <f>IF(Projektforudsætninger!B14="Ja",Arbejdsark!U32,"-")</f>
        <v>-</v>
      </c>
      <c r="G19" s="283" t="str">
        <f>IF(Projektforudsætninger!$B$14="Ja",F18-F19,"-")</f>
        <v>-</v>
      </c>
      <c r="H19" s="239" t="s">
        <v>499</v>
      </c>
      <c r="I19" s="244" t="str">
        <f>IF('Sortering af spørgsmål'!$C$7=Projektforudsætninger!$C$20,"","-")</f>
        <v>-</v>
      </c>
      <c r="J19" s="244" t="str">
        <f>IF('Sortering af spørgsmål'!$C$7=Projektforudsætninger!$C$21,"","-")</f>
        <v>-</v>
      </c>
      <c r="K19" s="244" t="str">
        <f>IF('Sortering af spørgsmål'!$C$7=Projektforudsætninger!$C$22,"","-")</f>
        <v>-</v>
      </c>
      <c r="L19" s="244" t="str">
        <f>IF('Sortering af spørgsmål'!$C$7=Projektforudsætninger!$C$23,"","-")</f>
        <v>-</v>
      </c>
      <c r="M19" s="244" t="str">
        <f>IF('Sortering af spørgsmål'!$C$7=Projektforudsætninger!$C$24,"","-")</f>
        <v>-</v>
      </c>
      <c r="N19" s="244" t="str">
        <f>IF('Sortering af spørgsmål'!$C$7=Projektforudsætninger!$C$25,"","-")</f>
        <v>-</v>
      </c>
      <c r="O19" s="244" t="str">
        <f>IF('Sortering af spørgsmål'!$C$7=Projektforudsætninger!$C$26,"","-")</f>
        <v>-</v>
      </c>
      <c r="P19" s="244" t="str">
        <f>IF('Sortering af spørgsmål'!$C$7=Projektforudsætninger!$C$19,"","-")</f>
        <v>-</v>
      </c>
      <c r="Q19" s="255"/>
    </row>
    <row r="20" spans="1:27" ht="15" customHeight="1" x14ac:dyDescent="0.45">
      <c r="A20" s="793"/>
      <c r="B20" s="787"/>
      <c r="C20" s="779"/>
      <c r="D20" s="284">
        <f>Arbejdsark!O33</f>
        <v>6</v>
      </c>
      <c r="E20" s="284">
        <f>D18-D20</f>
        <v>6</v>
      </c>
      <c r="F20" s="284" t="str">
        <f>IF(Projektforudsætninger!B14="Ja",Arbejdsark!U33,"-")</f>
        <v>-</v>
      </c>
      <c r="G20" s="284" t="str">
        <f>IF(Projektforudsætninger!$B$14="Ja",F18-F20,"-")</f>
        <v>-</v>
      </c>
      <c r="H20" s="241" t="s">
        <v>495</v>
      </c>
      <c r="I20" s="245" t="str">
        <f>IF('Sortering af spørgsmål'!$C$7=Projektforudsætninger!$C$20,"","-")</f>
        <v>-</v>
      </c>
      <c r="J20" s="245" t="str">
        <f>IF('Sortering af spørgsmål'!$C$7=Projektforudsætninger!$C$21,"","-")</f>
        <v>-</v>
      </c>
      <c r="K20" s="245" t="str">
        <f>IF('Sortering af spørgsmål'!$C$7=Projektforudsætninger!$C$22,"","-")</f>
        <v>-</v>
      </c>
      <c r="L20" s="245" t="str">
        <f>IF('Sortering af spørgsmål'!$C$7=Projektforudsætninger!$C$23,"","-")</f>
        <v>-</v>
      </c>
      <c r="M20" s="245" t="str">
        <f>IF('Sortering af spørgsmål'!$C$7=Projektforudsætninger!$C$24,"","-")</f>
        <v>-</v>
      </c>
      <c r="N20" s="245" t="str">
        <f>IF('Sortering af spørgsmål'!$C$7=Projektforudsætninger!$C$25,"","-")</f>
        <v>-</v>
      </c>
      <c r="O20" s="245" t="str">
        <f>IF('Sortering af spørgsmål'!$C$7=Projektforudsætninger!$C$26,"","-")</f>
        <v>-</v>
      </c>
      <c r="P20" s="245" t="str">
        <f>IF('Sortering af spørgsmål'!$C$7=Projektforudsætninger!$C$19,"","-")</f>
        <v>-</v>
      </c>
      <c r="Q20" s="255"/>
    </row>
    <row r="21" spans="1:27" s="222" customFormat="1" ht="15" customHeight="1" x14ac:dyDescent="0.45">
      <c r="A21" s="793"/>
      <c r="B21" s="787" t="str">
        <f>Arbejdsark!A35</f>
        <v>Vand</v>
      </c>
      <c r="C21" s="779" t="str">
        <f>Arbejdsark!C35</f>
        <v>Installationer</v>
      </c>
      <c r="D21" s="282">
        <f>Arbejdsark!O36</f>
        <v>1</v>
      </c>
      <c r="E21" s="282">
        <f>D21-D21</f>
        <v>0</v>
      </c>
      <c r="F21" s="282" t="str">
        <f>IF(Projektforudsætninger!B14="Ja",Arbejdsark!U36,"-")</f>
        <v>-</v>
      </c>
      <c r="G21" s="282" t="str">
        <f>IF(Projektforudsætninger!$B$14="Ja",F21-F21,"-")</f>
        <v>-</v>
      </c>
      <c r="H21" s="237" t="s">
        <v>498</v>
      </c>
      <c r="I21" s="243" t="str">
        <f>IF('Sortering af spørgsmål'!$C$8=Projektforudsætninger!$C$20,"","-")</f>
        <v>-</v>
      </c>
      <c r="J21" s="243" t="str">
        <f>IF('Sortering af spørgsmål'!$C$8=Projektforudsætninger!$C$21,"","-")</f>
        <v>-</v>
      </c>
      <c r="K21" s="243" t="str">
        <f>IF('Sortering af spørgsmål'!$C$8=Projektforudsætninger!$C$22,"","-")</f>
        <v>-</v>
      </c>
      <c r="L21" s="243" t="str">
        <f>IF('Sortering af spørgsmål'!$C$8=Projektforudsætninger!$C$23,"","-")</f>
        <v>-</v>
      </c>
      <c r="M21" s="243" t="str">
        <f>IF('Sortering af spørgsmål'!$C$8=Projektforudsætninger!$C$24,"","-")</f>
        <v>-</v>
      </c>
      <c r="N21" s="243" t="str">
        <f>IF('Sortering af spørgsmål'!$C$8=Projektforudsætninger!$C$25,"","-")</f>
        <v>-</v>
      </c>
      <c r="O21" s="243" t="str">
        <f>IF('Sortering af spørgsmål'!$C$8=Projektforudsætninger!$C$26,"","-")</f>
        <v>-</v>
      </c>
      <c r="P21" s="243" t="str">
        <f>IF('Sortering af spørgsmål'!$C$8=Projektforudsætninger!$C$19,"","-")</f>
        <v>-</v>
      </c>
      <c r="Q21" s="254"/>
    </row>
    <row r="22" spans="1:27" ht="15" customHeight="1" x14ac:dyDescent="0.45">
      <c r="A22" s="793"/>
      <c r="B22" s="787"/>
      <c r="C22" s="779"/>
      <c r="D22" s="283">
        <f>Arbejdsark!O37</f>
        <v>1</v>
      </c>
      <c r="E22" s="283">
        <f>D21-D22</f>
        <v>0</v>
      </c>
      <c r="F22" s="283" t="str">
        <f>IF(Projektforudsætninger!B14="Ja",Arbejdsark!U37,"-")</f>
        <v>-</v>
      </c>
      <c r="G22" s="283" t="str">
        <f>IF(Projektforudsætninger!$B$14="Ja",F21-F22,"-")</f>
        <v>-</v>
      </c>
      <c r="H22" s="239" t="s">
        <v>499</v>
      </c>
      <c r="I22" s="244" t="str">
        <f>IF('Sortering af spørgsmål'!$C$8=Projektforudsætninger!$C$20,"","-")</f>
        <v>-</v>
      </c>
      <c r="J22" s="244" t="str">
        <f>IF('Sortering af spørgsmål'!$C$8=Projektforudsætninger!$C$21,"","-")</f>
        <v>-</v>
      </c>
      <c r="K22" s="244" t="str">
        <f>IF('Sortering af spørgsmål'!$C$8=Projektforudsætninger!$C$22,"","-")</f>
        <v>-</v>
      </c>
      <c r="L22" s="244" t="str">
        <f>IF('Sortering af spørgsmål'!$C$8=Projektforudsætninger!$C$23,"","-")</f>
        <v>-</v>
      </c>
      <c r="M22" s="244" t="str">
        <f>IF('Sortering af spørgsmål'!$C$8=Projektforudsætninger!$C$24,"","-")</f>
        <v>-</v>
      </c>
      <c r="N22" s="244" t="str">
        <f>IF('Sortering af spørgsmål'!$C$8=Projektforudsætninger!$C$25,"","-")</f>
        <v>-</v>
      </c>
      <c r="O22" s="244" t="str">
        <f>IF('Sortering af spørgsmål'!$C$8=Projektforudsætninger!$C$26,"","-")</f>
        <v>-</v>
      </c>
      <c r="P22" s="244" t="str">
        <f>IF('Sortering af spørgsmål'!$C$8=Projektforudsætninger!$C$19,"","-")</f>
        <v>-</v>
      </c>
      <c r="Q22" s="255"/>
    </row>
    <row r="23" spans="1:27" ht="15" customHeight="1" x14ac:dyDescent="0.45">
      <c r="A23" s="793"/>
      <c r="B23" s="787"/>
      <c r="C23" s="779"/>
      <c r="D23" s="284">
        <f>Arbejdsark!O38</f>
        <v>0</v>
      </c>
      <c r="E23" s="284">
        <f>D21-D23</f>
        <v>1</v>
      </c>
      <c r="F23" s="284" t="str">
        <f>IF(Projektforudsætninger!B14="Ja",Arbejdsark!U38,"-")</f>
        <v>-</v>
      </c>
      <c r="G23" s="284" t="str">
        <f>IF(Projektforudsætninger!$B$14="Ja",F21-F23,"-")</f>
        <v>-</v>
      </c>
      <c r="H23" s="241" t="s">
        <v>495</v>
      </c>
      <c r="I23" s="245" t="str">
        <f>IF('Sortering af spørgsmål'!$C$8=Projektforudsætninger!$C$20,"","-")</f>
        <v>-</v>
      </c>
      <c r="J23" s="245" t="str">
        <f>IF('Sortering af spørgsmål'!$C$8=Projektforudsætninger!$C$21,"","-")</f>
        <v>-</v>
      </c>
      <c r="K23" s="245" t="str">
        <f>IF('Sortering af spørgsmål'!$C$8=Projektforudsætninger!$C$22,"","-")</f>
        <v>-</v>
      </c>
      <c r="L23" s="245" t="str">
        <f>IF('Sortering af spørgsmål'!$C$8=Projektforudsætninger!$C$23,"","-")</f>
        <v>-</v>
      </c>
      <c r="M23" s="245" t="str">
        <f>IF('Sortering af spørgsmål'!$C$8=Projektforudsætninger!$C$24,"","-")</f>
        <v>-</v>
      </c>
      <c r="N23" s="245" t="str">
        <f>IF('Sortering af spørgsmål'!$C$8=Projektforudsætninger!$C$25,"","-")</f>
        <v>-</v>
      </c>
      <c r="O23" s="245" t="str">
        <f>IF('Sortering af spørgsmål'!$C$8=Projektforudsætninger!$C$26,"","-")</f>
        <v>-</v>
      </c>
      <c r="P23" s="245" t="str">
        <f>IF('Sortering af spørgsmål'!$C$8=Projektforudsætninger!$C$19,"","-")</f>
        <v>-</v>
      </c>
      <c r="Q23" s="255"/>
    </row>
    <row r="24" spans="1:27" s="222" customFormat="1" ht="15" customHeight="1" x14ac:dyDescent="0.45">
      <c r="A24" s="793"/>
      <c r="B24" s="787"/>
      <c r="C24" s="779" t="str">
        <f>Arbejdsark!C40</f>
        <v>Spildevand</v>
      </c>
      <c r="D24" s="282">
        <f>Arbejdsark!O41</f>
        <v>1</v>
      </c>
      <c r="E24" s="282">
        <f>D24-D24</f>
        <v>0</v>
      </c>
      <c r="F24" s="282" t="str">
        <f>IF(Projektforudsætninger!B14="Ja",Arbejdsark!U41,"-")</f>
        <v>-</v>
      </c>
      <c r="G24" s="282" t="str">
        <f>IF(Projektforudsætninger!$B$14="Ja",F24-F24,"-")</f>
        <v>-</v>
      </c>
      <c r="H24" s="237" t="s">
        <v>498</v>
      </c>
      <c r="I24" s="243" t="str">
        <f>IF('Sortering af spørgsmål'!$C$8=Projektforudsætninger!$C$20,"","-")</f>
        <v>-</v>
      </c>
      <c r="J24" s="243" t="str">
        <f>IF('Sortering af spørgsmål'!$C$8=Projektforudsætninger!$C$21,"","-")</f>
        <v>-</v>
      </c>
      <c r="K24" s="243" t="str">
        <f>IF('Sortering af spørgsmål'!$C$8=Projektforudsætninger!$C$22,"","-")</f>
        <v>-</v>
      </c>
      <c r="L24" s="243" t="str">
        <f>IF('Sortering af spørgsmål'!$C$8=Projektforudsætninger!$C$23,"","-")</f>
        <v>-</v>
      </c>
      <c r="M24" s="243" t="str">
        <f>IF('Sortering af spørgsmål'!$C$8=Projektforudsætninger!$C$24,"","-")</f>
        <v>-</v>
      </c>
      <c r="N24" s="243" t="str">
        <f>IF('Sortering af spørgsmål'!$C$8=Projektforudsætninger!$C$25,"","-")</f>
        <v>-</v>
      </c>
      <c r="O24" s="243" t="str">
        <f>IF('Sortering af spørgsmål'!$C$8=Projektforudsætninger!$C$26,"","-")</f>
        <v>-</v>
      </c>
      <c r="P24" s="243" t="str">
        <f>IF('Sortering af spørgsmål'!$C$8=Projektforudsætninger!$C$19,"","-")</f>
        <v>-</v>
      </c>
      <c r="Q24" s="254"/>
    </row>
    <row r="25" spans="1:27" ht="15" customHeight="1" x14ac:dyDescent="0.45">
      <c r="A25" s="793"/>
      <c r="B25" s="787"/>
      <c r="C25" s="779"/>
      <c r="D25" s="283">
        <f>Arbejdsark!O42</f>
        <v>1</v>
      </c>
      <c r="E25" s="283">
        <f>D24-D25</f>
        <v>0</v>
      </c>
      <c r="F25" s="283" t="str">
        <f>IF(Projektforudsætninger!B14="Ja",Arbejdsark!YU42,"-")</f>
        <v>-</v>
      </c>
      <c r="G25" s="283" t="str">
        <f>IF(Projektforudsætninger!$B$14="Ja",F24-F25,"-")</f>
        <v>-</v>
      </c>
      <c r="H25" s="239" t="s">
        <v>499</v>
      </c>
      <c r="I25" s="244" t="str">
        <f>IF('Sortering af spørgsmål'!$C$8=Projektforudsætninger!$C$20,"","-")</f>
        <v>-</v>
      </c>
      <c r="J25" s="244" t="str">
        <f>IF('Sortering af spørgsmål'!$C$8=Projektforudsætninger!$C$21,"","-")</f>
        <v>-</v>
      </c>
      <c r="K25" s="244" t="str">
        <f>IF('Sortering af spørgsmål'!$C$8=Projektforudsætninger!$C$22,"","-")</f>
        <v>-</v>
      </c>
      <c r="L25" s="244" t="str">
        <f>IF('Sortering af spørgsmål'!$C$8=Projektforudsætninger!$C$23,"","-")</f>
        <v>-</v>
      </c>
      <c r="M25" s="244" t="str">
        <f>IF('Sortering af spørgsmål'!$C$8=Projektforudsætninger!$C$24,"","-")</f>
        <v>-</v>
      </c>
      <c r="N25" s="244" t="str">
        <f>IF('Sortering af spørgsmål'!$C$8=Projektforudsætninger!$C$25,"","-")</f>
        <v>-</v>
      </c>
      <c r="O25" s="244" t="str">
        <f>IF('Sortering af spørgsmål'!$C$8=Projektforudsætninger!$C$26,"","-")</f>
        <v>-</v>
      </c>
      <c r="P25" s="244" t="str">
        <f>IF('Sortering af spørgsmål'!$C$8=Projektforudsætninger!$C$19,"","-")</f>
        <v>-</v>
      </c>
      <c r="Q25" s="255"/>
    </row>
    <row r="26" spans="1:27" ht="15" customHeight="1" x14ac:dyDescent="0.45">
      <c r="A26" s="793"/>
      <c r="B26" s="787"/>
      <c r="C26" s="779"/>
      <c r="D26" s="284">
        <f>Arbejdsark!O43</f>
        <v>0</v>
      </c>
      <c r="E26" s="284">
        <f>D24-D26</f>
        <v>1</v>
      </c>
      <c r="F26" s="284" t="str">
        <f>IF(Projektforudsætninger!B14="Ja",Arbejdsark!U43,"-")</f>
        <v>-</v>
      </c>
      <c r="G26" s="284" t="str">
        <f>IF(Projektforudsætninger!$B$14="Ja",F24-F26,"-")</f>
        <v>-</v>
      </c>
      <c r="H26" s="241" t="s">
        <v>495</v>
      </c>
      <c r="I26" s="245" t="str">
        <f>IF('Sortering af spørgsmål'!$C$8=Projektforudsætninger!$C$20,"","-")</f>
        <v>-</v>
      </c>
      <c r="J26" s="245" t="str">
        <f>IF('Sortering af spørgsmål'!$C$8=Projektforudsætninger!$C$21,"","-")</f>
        <v>-</v>
      </c>
      <c r="K26" s="245" t="str">
        <f>IF('Sortering af spørgsmål'!$C$8=Projektforudsætninger!$C$22,"","-")</f>
        <v>-</v>
      </c>
      <c r="L26" s="245" t="str">
        <f>IF('Sortering af spørgsmål'!$C$8=Projektforudsætninger!$C$23,"","-")</f>
        <v>-</v>
      </c>
      <c r="M26" s="245" t="str">
        <f>IF('Sortering af spørgsmål'!$C$8=Projektforudsætninger!$C$24,"","-")</f>
        <v>-</v>
      </c>
      <c r="N26" s="245" t="str">
        <f>IF('Sortering af spørgsmål'!$C$8=Projektforudsætninger!$C$25,"","-")</f>
        <v>-</v>
      </c>
      <c r="O26" s="245" t="str">
        <f>IF('Sortering af spørgsmål'!$C$8=Projektforudsætninger!$C$26,"","-")</f>
        <v>-</v>
      </c>
      <c r="P26" s="245" t="str">
        <f>IF('Sortering af spørgsmål'!$C$8=Projektforudsætninger!$C$19,"","-")</f>
        <v>-</v>
      </c>
      <c r="Q26" s="255"/>
    </row>
    <row r="27" spans="1:27" s="222" customFormat="1" ht="15" customHeight="1" x14ac:dyDescent="0.45">
      <c r="A27" s="793"/>
      <c r="B27" s="787"/>
      <c r="C27" s="779" t="str">
        <f>Arbejdsark!C45</f>
        <v>Nedbør</v>
      </c>
      <c r="D27" s="282">
        <f>Arbejdsark!O46</f>
        <v>3</v>
      </c>
      <c r="E27" s="282">
        <f>D27-D27</f>
        <v>0</v>
      </c>
      <c r="F27" s="282" t="str">
        <f>IF(Projektforudsætninger!B14="Ja",Arbejdsark!U46,"-")</f>
        <v>-</v>
      </c>
      <c r="G27" s="282" t="str">
        <f>IF(Projektforudsætninger!$B$14="Ja",F27-F27,"-")</f>
        <v>-</v>
      </c>
      <c r="H27" s="237" t="s">
        <v>498</v>
      </c>
      <c r="I27" s="243" t="str">
        <f>IF('Sortering af spørgsmål'!$C$8=Projektforudsætninger!$C$20,"","-")</f>
        <v>-</v>
      </c>
      <c r="J27" s="243" t="str">
        <f>IF('Sortering af spørgsmål'!$C$8=Projektforudsætninger!$C$21,"","-")</f>
        <v>-</v>
      </c>
      <c r="K27" s="243" t="str">
        <f>IF('Sortering af spørgsmål'!$C$8=Projektforudsætninger!$C$22,"","-")</f>
        <v>-</v>
      </c>
      <c r="L27" s="243" t="str">
        <f>IF('Sortering af spørgsmål'!$C$8=Projektforudsætninger!$C$23,"","-")</f>
        <v>-</v>
      </c>
      <c r="M27" s="243" t="str">
        <f>IF('Sortering af spørgsmål'!$C$8=Projektforudsætninger!$C$24,"","-")</f>
        <v>-</v>
      </c>
      <c r="N27" s="243" t="str">
        <f>IF('Sortering af spørgsmål'!$C$8=Projektforudsætninger!$C$25,"","-")</f>
        <v>-</v>
      </c>
      <c r="O27" s="243" t="str">
        <f>IF('Sortering af spørgsmål'!$C$8=Projektforudsætninger!$C$26,"","-")</f>
        <v>-</v>
      </c>
      <c r="P27" s="243" t="str">
        <f>IF('Sortering af spørgsmål'!$C$8=Projektforudsætninger!$C$19,"","-")</f>
        <v>-</v>
      </c>
      <c r="Q27" s="254"/>
    </row>
    <row r="28" spans="1:27" ht="15" customHeight="1" x14ac:dyDescent="0.45">
      <c r="A28" s="793"/>
      <c r="B28" s="787"/>
      <c r="C28" s="779"/>
      <c r="D28" s="283">
        <f>Arbejdsark!O47</f>
        <v>2</v>
      </c>
      <c r="E28" s="283">
        <f>D27-D28</f>
        <v>1</v>
      </c>
      <c r="F28" s="283" t="str">
        <f>IF(Projektforudsætninger!B14="Ja",Arbejdsark!U47,"-")</f>
        <v>-</v>
      </c>
      <c r="G28" s="283" t="str">
        <f>IF(Projektforudsætninger!$B$14="Ja",F27-F28,"-")</f>
        <v>-</v>
      </c>
      <c r="H28" s="239" t="s">
        <v>499</v>
      </c>
      <c r="I28" s="244" t="str">
        <f>IF('Sortering af spørgsmål'!$C$8=Projektforudsætninger!$C$20,"","-")</f>
        <v>-</v>
      </c>
      <c r="J28" s="244" t="str">
        <f>IF('Sortering af spørgsmål'!$C$8=Projektforudsætninger!$C$21,"","-")</f>
        <v>-</v>
      </c>
      <c r="K28" s="244" t="str">
        <f>IF('Sortering af spørgsmål'!$C$8=Projektforudsætninger!$C$22,"","-")</f>
        <v>-</v>
      </c>
      <c r="L28" s="244" t="str">
        <f>IF('Sortering af spørgsmål'!$C$8=Projektforudsætninger!$C$23,"","-")</f>
        <v>-</v>
      </c>
      <c r="M28" s="244" t="str">
        <f>IF('Sortering af spørgsmål'!$C$8=Projektforudsætninger!$C$24,"","-")</f>
        <v>-</v>
      </c>
      <c r="N28" s="244" t="str">
        <f>IF('Sortering af spørgsmål'!$C$8=Projektforudsætninger!$C$25,"","-")</f>
        <v>-</v>
      </c>
      <c r="O28" s="244" t="str">
        <f>IF('Sortering af spørgsmål'!$C$8=Projektforudsætninger!$C$26,"","-")</f>
        <v>-</v>
      </c>
      <c r="P28" s="244" t="str">
        <f>IF('Sortering af spørgsmål'!$C$8=Projektforudsætninger!$C$19,"","-")</f>
        <v>-</v>
      </c>
      <c r="Q28" s="255"/>
    </row>
    <row r="29" spans="1:27" ht="15" customHeight="1" x14ac:dyDescent="0.45">
      <c r="A29" s="793"/>
      <c r="B29" s="787"/>
      <c r="C29" s="779"/>
      <c r="D29" s="284">
        <f>Arbejdsark!O48</f>
        <v>0</v>
      </c>
      <c r="E29" s="284">
        <f>D27-D29</f>
        <v>3</v>
      </c>
      <c r="F29" s="284" t="str">
        <f>IF(Projektforudsætninger!B14="Ja",Arbejdsark!U48,"-")</f>
        <v>-</v>
      </c>
      <c r="G29" s="284" t="str">
        <f>IF(Projektforudsætninger!$B$14="Ja",F27-F29,"-")</f>
        <v>-</v>
      </c>
      <c r="H29" s="241" t="s">
        <v>495</v>
      </c>
      <c r="I29" s="245" t="str">
        <f>IF('Sortering af spørgsmål'!$C$8=Projektforudsætninger!$C$20,"","-")</f>
        <v>-</v>
      </c>
      <c r="J29" s="245" t="str">
        <f>IF('Sortering af spørgsmål'!$C$8=Projektforudsætninger!$C$21,"","-")</f>
        <v>-</v>
      </c>
      <c r="K29" s="245" t="str">
        <f>IF('Sortering af spørgsmål'!$C$8=Projektforudsætninger!$C$22,"","-")</f>
        <v>-</v>
      </c>
      <c r="L29" s="245" t="str">
        <f>IF('Sortering af spørgsmål'!$C$8=Projektforudsætninger!$C$23,"","-")</f>
        <v>-</v>
      </c>
      <c r="M29" s="245" t="str">
        <f>IF('Sortering af spørgsmål'!$C$8=Projektforudsætninger!$C$24,"","-")</f>
        <v>-</v>
      </c>
      <c r="N29" s="245" t="str">
        <f>IF('Sortering af spørgsmål'!$C$8=Projektforudsætninger!$C$25,"","-")</f>
        <v>-</v>
      </c>
      <c r="O29" s="245" t="str">
        <f>IF('Sortering af spørgsmål'!$C$8=Projektforudsætninger!$C$26,"","-")</f>
        <v>-</v>
      </c>
      <c r="P29" s="245" t="str">
        <f>IF('Sortering af spørgsmål'!$C$8=Projektforudsætninger!$C$19,"","-")</f>
        <v>-</v>
      </c>
      <c r="Q29" s="255"/>
    </row>
    <row r="30" spans="1:27" s="222" customFormat="1" ht="15" customHeight="1" x14ac:dyDescent="0.45">
      <c r="A30" s="793"/>
      <c r="B30" s="787" t="str">
        <f>Arbejdsark!A51</f>
        <v>Beplantning</v>
      </c>
      <c r="C30" s="779" t="str">
        <f>Arbejdsark!C51</f>
        <v>Plantearter</v>
      </c>
      <c r="D30" s="282">
        <f>Arbejdsark!O52</f>
        <v>1</v>
      </c>
      <c r="E30" s="282">
        <f>D30-D30</f>
        <v>0</v>
      </c>
      <c r="F30" s="282" t="str">
        <f>IF(Projektforudsætninger!B14="Ja",Arbejdsark!U52,"-")</f>
        <v>-</v>
      </c>
      <c r="G30" s="282" t="str">
        <f>IF(Projektforudsætninger!$B$14="Ja",F30-F30,"-")</f>
        <v>-</v>
      </c>
      <c r="H30" s="237" t="s">
        <v>498</v>
      </c>
      <c r="I30" s="243" t="str">
        <f>IF('Sortering af spørgsmål'!$C$9=Projektforudsætninger!$C$20,"","-")</f>
        <v>-</v>
      </c>
      <c r="J30" s="243" t="str">
        <f>IF('Sortering af spørgsmål'!$C$9=Projektforudsætninger!$C$21,"","-")</f>
        <v>-</v>
      </c>
      <c r="K30" s="243" t="str">
        <f>IF('Sortering af spørgsmål'!$C$9=Projektforudsætninger!$C$22,"","-")</f>
        <v>-</v>
      </c>
      <c r="L30" s="243" t="str">
        <f>IF('Sortering af spørgsmål'!$C$9=Projektforudsætninger!$C$23,"","-")</f>
        <v>-</v>
      </c>
      <c r="M30" s="243" t="str">
        <f>IF('Sortering af spørgsmål'!$C$9=Projektforudsætninger!$C$24,"","-")</f>
        <v>-</v>
      </c>
      <c r="N30" s="243" t="str">
        <f>IF('Sortering af spørgsmål'!$C$9=Projektforudsætninger!$C$25,"","-")</f>
        <v>-</v>
      </c>
      <c r="O30" s="243" t="str">
        <f>IF('Sortering af spørgsmål'!$C$9=Projektforudsætninger!$C$26,"","-")</f>
        <v>-</v>
      </c>
      <c r="P30" s="243" t="str">
        <f>IF('Sortering af spørgsmål'!$C$9=Projektforudsætninger!$C$19,"","-")</f>
        <v>-</v>
      </c>
      <c r="Q30" s="254"/>
      <c r="W30" s="567" t="s">
        <v>30</v>
      </c>
    </row>
    <row r="31" spans="1:27" ht="15" customHeight="1" x14ac:dyDescent="0.45">
      <c r="A31" s="793"/>
      <c r="B31" s="787"/>
      <c r="C31" s="779"/>
      <c r="D31" s="283">
        <f>Arbejdsark!O53</f>
        <v>1</v>
      </c>
      <c r="E31" s="283">
        <f>D30-D31</f>
        <v>0</v>
      </c>
      <c r="F31" s="283" t="str">
        <f>IF(Projektforudsætninger!B14="Ja",Arbejdsark!U53,"-")</f>
        <v>-</v>
      </c>
      <c r="G31" s="283" t="str">
        <f>IF(Projektforudsætninger!$B$14="Ja",F30-F31,"-")</f>
        <v>-</v>
      </c>
      <c r="H31" s="239" t="s">
        <v>499</v>
      </c>
      <c r="I31" s="244" t="str">
        <f>IF('Sortering af spørgsmål'!$C$9=Projektforudsætninger!$C$20,"","-")</f>
        <v>-</v>
      </c>
      <c r="J31" s="244" t="str">
        <f>IF('Sortering af spørgsmål'!$C$9=Projektforudsætninger!$C$21,"","-")</f>
        <v>-</v>
      </c>
      <c r="K31" s="244" t="str">
        <f>IF('Sortering af spørgsmål'!$C$9=Projektforudsætninger!$C$22,"","-")</f>
        <v>-</v>
      </c>
      <c r="L31" s="244" t="str">
        <f>IF('Sortering af spørgsmål'!$C$9=Projektforudsætninger!$C$23,"","-")</f>
        <v>-</v>
      </c>
      <c r="M31" s="244" t="str">
        <f>IF('Sortering af spørgsmål'!$C$9=Projektforudsætninger!$C$24,"","-")</f>
        <v>-</v>
      </c>
      <c r="N31" s="244" t="str">
        <f>IF('Sortering af spørgsmål'!$C$9=Projektforudsætninger!$C$25,"","-")</f>
        <v>-</v>
      </c>
      <c r="O31" s="244" t="str">
        <f>IF('Sortering af spørgsmål'!$C$9=Projektforudsætninger!$C$26,"","-")</f>
        <v>-</v>
      </c>
      <c r="P31" s="244" t="str">
        <f>IF('Sortering af spørgsmål'!$C$9=Projektforudsætninger!$C$19,"","-")</f>
        <v>-</v>
      </c>
      <c r="Q31" s="255"/>
      <c r="W31" s="567" t="s">
        <v>31</v>
      </c>
    </row>
    <row r="32" spans="1:27" ht="15" customHeight="1" x14ac:dyDescent="0.45">
      <c r="A32" s="793"/>
      <c r="B32" s="787"/>
      <c r="C32" s="779"/>
      <c r="D32" s="284">
        <f>Arbejdsark!O54</f>
        <v>0</v>
      </c>
      <c r="E32" s="284">
        <f>D30-D32</f>
        <v>1</v>
      </c>
      <c r="F32" s="284" t="str">
        <f>IF(Projektforudsætninger!B14="Ja",Arbejdsark!U54,"-")</f>
        <v>-</v>
      </c>
      <c r="G32" s="284" t="str">
        <f>IF(Projektforudsætninger!$B$14="Ja",F30-F32,"-")</f>
        <v>-</v>
      </c>
      <c r="H32" s="241" t="s">
        <v>495</v>
      </c>
      <c r="I32" s="245" t="str">
        <f>IF('Sortering af spørgsmål'!$C$9=Projektforudsætninger!$C$20,"","-")</f>
        <v>-</v>
      </c>
      <c r="J32" s="245" t="str">
        <f>IF('Sortering af spørgsmål'!$C$9=Projektforudsætninger!$C$21,"","-")</f>
        <v>-</v>
      </c>
      <c r="K32" s="245" t="str">
        <f>IF('Sortering af spørgsmål'!$C$9=Projektforudsætninger!$C$22,"","-")</f>
        <v>-</v>
      </c>
      <c r="L32" s="245" t="str">
        <f>IF('Sortering af spørgsmål'!$C$9=Projektforudsætninger!$C$23,"","-")</f>
        <v>-</v>
      </c>
      <c r="M32" s="245" t="str">
        <f>IF('Sortering af spørgsmål'!$C$9=Projektforudsætninger!$C$24,"","-")</f>
        <v>-</v>
      </c>
      <c r="N32" s="245" t="str">
        <f>IF('Sortering af spørgsmål'!$C$9=Projektforudsætninger!$C$25,"","-")</f>
        <v>-</v>
      </c>
      <c r="O32" s="245" t="str">
        <f>IF('Sortering af spørgsmål'!$C$9=Projektforudsætninger!$C$26,"","-")</f>
        <v>-</v>
      </c>
      <c r="P32" s="245" t="str">
        <f>IF('Sortering af spørgsmål'!$C$9=Projektforudsætninger!$C$19,"","-")</f>
        <v>-</v>
      </c>
      <c r="Q32" s="255"/>
      <c r="W32" s="220" t="s">
        <v>33</v>
      </c>
    </row>
    <row r="33" spans="1:17" s="222" customFormat="1" ht="15" customHeight="1" x14ac:dyDescent="0.45">
      <c r="A33" s="793"/>
      <c r="B33" s="787"/>
      <c r="C33" s="779" t="str">
        <f>Arbejdsark!C63</f>
        <v>Læ, sol og skygge</v>
      </c>
      <c r="D33" s="282">
        <f>Arbejdsark!O64</f>
        <v>1</v>
      </c>
      <c r="E33" s="282">
        <f>D33-D33</f>
        <v>0</v>
      </c>
      <c r="F33" s="282" t="str">
        <f>IF(Projektforudsætninger!B14="Ja",Arbejdsark!U64,"-")</f>
        <v>-</v>
      </c>
      <c r="G33" s="282" t="str">
        <f>IF(Projektforudsætninger!$B$14="Ja",F33-F33,"-")</f>
        <v>-</v>
      </c>
      <c r="H33" s="237" t="s">
        <v>498</v>
      </c>
      <c r="I33" s="243" t="str">
        <f>IF('Sortering af spørgsmål'!$C$9=Projektforudsætninger!$C$20,"","-")</f>
        <v>-</v>
      </c>
      <c r="J33" s="243" t="str">
        <f>IF('Sortering af spørgsmål'!$C$9=Projektforudsætninger!$C$21,"","-")</f>
        <v>-</v>
      </c>
      <c r="K33" s="243" t="str">
        <f>IF('Sortering af spørgsmål'!$C$9=Projektforudsætninger!$C$22,"","-")</f>
        <v>-</v>
      </c>
      <c r="L33" s="243" t="str">
        <f>IF('Sortering af spørgsmål'!$C$9=Projektforudsætninger!$C$23,"","-")</f>
        <v>-</v>
      </c>
      <c r="M33" s="243" t="str">
        <f>IF('Sortering af spørgsmål'!$C$9=Projektforudsætninger!$C$24,"","-")</f>
        <v>-</v>
      </c>
      <c r="N33" s="243" t="str">
        <f>IF('Sortering af spørgsmål'!$C$9=Projektforudsætninger!$C$25,"","-")</f>
        <v>-</v>
      </c>
      <c r="O33" s="243" t="str">
        <f>IF('Sortering af spørgsmål'!$C$9=Projektforudsætninger!$C$26,"","-")</f>
        <v>-</v>
      </c>
      <c r="P33" s="243" t="str">
        <f>IF('Sortering af spørgsmål'!$C$9=Projektforudsætninger!$C$19,"","-")</f>
        <v>-</v>
      </c>
      <c r="Q33" s="254"/>
    </row>
    <row r="34" spans="1:17" ht="15" customHeight="1" x14ac:dyDescent="0.45">
      <c r="A34" s="793"/>
      <c r="B34" s="787"/>
      <c r="C34" s="779"/>
      <c r="D34" s="283">
        <f>Arbejdsark!O65</f>
        <v>1</v>
      </c>
      <c r="E34" s="283">
        <f>D33-D34</f>
        <v>0</v>
      </c>
      <c r="F34" s="283" t="str">
        <f>IF(Projektforudsætninger!B14="Ja",Arbejdsark!U65,"-")</f>
        <v>-</v>
      </c>
      <c r="G34" s="283" t="str">
        <f>IF(Projektforudsætninger!$B$14="Ja",F33-F34,"-")</f>
        <v>-</v>
      </c>
      <c r="H34" s="239" t="s">
        <v>499</v>
      </c>
      <c r="I34" s="244" t="str">
        <f>IF('Sortering af spørgsmål'!$C$9=Projektforudsætninger!$C$20,"","-")</f>
        <v>-</v>
      </c>
      <c r="J34" s="244" t="str">
        <f>IF('Sortering af spørgsmål'!$C$9=Projektforudsætninger!$C$21,"","-")</f>
        <v>-</v>
      </c>
      <c r="K34" s="244" t="str">
        <f>IF('Sortering af spørgsmål'!$C$9=Projektforudsætninger!$C$22,"","-")</f>
        <v>-</v>
      </c>
      <c r="L34" s="244" t="str">
        <f>IF('Sortering af spørgsmål'!$C$9=Projektforudsætninger!$C$23,"","-")</f>
        <v>-</v>
      </c>
      <c r="M34" s="244" t="str">
        <f>IF('Sortering af spørgsmål'!$C$9=Projektforudsætninger!$C$24,"","-")</f>
        <v>-</v>
      </c>
      <c r="N34" s="244" t="str">
        <f>IF('Sortering af spørgsmål'!$C$9=Projektforudsætninger!$C$25,"","-")</f>
        <v>-</v>
      </c>
      <c r="O34" s="244" t="str">
        <f>IF('Sortering af spørgsmål'!$C$9=Projektforudsætninger!$C$26,"","-")</f>
        <v>-</v>
      </c>
      <c r="P34" s="244" t="str">
        <f>IF('Sortering af spørgsmål'!$C$9=Projektforudsætninger!$C$19,"","-")</f>
        <v>-</v>
      </c>
      <c r="Q34" s="255"/>
    </row>
    <row r="35" spans="1:17" ht="15" customHeight="1" x14ac:dyDescent="0.45">
      <c r="A35" s="793"/>
      <c r="B35" s="787"/>
      <c r="C35" s="779"/>
      <c r="D35" s="284">
        <f>Arbejdsark!O66</f>
        <v>0</v>
      </c>
      <c r="E35" s="284">
        <f>D33-D35</f>
        <v>1</v>
      </c>
      <c r="F35" s="284" t="str">
        <f>IF(Projektforudsætninger!B14="Ja",Arbejdsark!U66,"-")</f>
        <v>-</v>
      </c>
      <c r="G35" s="284" t="str">
        <f>IF(Projektforudsætninger!$B$14="Ja",F33-F35,"-")</f>
        <v>-</v>
      </c>
      <c r="H35" s="241" t="s">
        <v>495</v>
      </c>
      <c r="I35" s="245" t="str">
        <f>IF('Sortering af spørgsmål'!$C$9=Projektforudsætninger!$C$20,"","-")</f>
        <v>-</v>
      </c>
      <c r="J35" s="245" t="str">
        <f>IF('Sortering af spørgsmål'!$C$9=Projektforudsætninger!$C$21,"","-")</f>
        <v>-</v>
      </c>
      <c r="K35" s="245" t="str">
        <f>IF('Sortering af spørgsmål'!$C$9=Projektforudsætninger!$C$22,"","-")</f>
        <v>-</v>
      </c>
      <c r="L35" s="245" t="str">
        <f>IF('Sortering af spørgsmål'!$C$9=Projektforudsætninger!$C$23,"","-")</f>
        <v>-</v>
      </c>
      <c r="M35" s="245" t="str">
        <f>IF('Sortering af spørgsmål'!$C$9=Projektforudsætninger!$C$24,"","-")</f>
        <v>-</v>
      </c>
      <c r="N35" s="245" t="str">
        <f>IF('Sortering af spørgsmål'!$C$9=Projektforudsætninger!$C$25,"","-")</f>
        <v>-</v>
      </c>
      <c r="O35" s="245" t="str">
        <f>IF('Sortering af spørgsmål'!$C$9=Projektforudsætninger!$C$26,"","-")</f>
        <v>-</v>
      </c>
      <c r="P35" s="245" t="str">
        <f>IF('Sortering af spørgsmål'!$C$9=Projektforudsætninger!$C$19,"","-")</f>
        <v>-</v>
      </c>
      <c r="Q35" s="255"/>
    </row>
    <row r="36" spans="1:17" s="222" customFormat="1" ht="15" customHeight="1" x14ac:dyDescent="0.45">
      <c r="A36" s="793"/>
      <c r="B36" s="787"/>
      <c r="C36" s="779" t="str">
        <f>Arbejdsark!C68</f>
        <v>Beplantning på tag og facade</v>
      </c>
      <c r="D36" s="282">
        <f>Arbejdsark!O69</f>
        <v>1</v>
      </c>
      <c r="E36" s="282">
        <f>D36-D36</f>
        <v>0</v>
      </c>
      <c r="F36" s="282" t="str">
        <f>IF(Projektforudsætninger!B14="Ja",Arbejdsark!U69,"-")</f>
        <v>-</v>
      </c>
      <c r="G36" s="282" t="str">
        <f>IF(Projektforudsætninger!$B$14="Ja",F36-F36,"-")</f>
        <v>-</v>
      </c>
      <c r="H36" s="237" t="s">
        <v>498</v>
      </c>
      <c r="I36" s="243" t="str">
        <f>IF('Sortering af spørgsmål'!$C$9=Projektforudsætninger!$C$20,"","-")</f>
        <v>-</v>
      </c>
      <c r="J36" s="243" t="str">
        <f>IF('Sortering af spørgsmål'!$C$9=Projektforudsætninger!$C$21,"","-")</f>
        <v>-</v>
      </c>
      <c r="K36" s="243" t="str">
        <f>IF('Sortering af spørgsmål'!$C$9=Projektforudsætninger!$C$22,"","-")</f>
        <v>-</v>
      </c>
      <c r="L36" s="243" t="str">
        <f>IF('Sortering af spørgsmål'!$C$9=Projektforudsætninger!$C$23,"","-")</f>
        <v>-</v>
      </c>
      <c r="M36" s="243" t="str">
        <f>IF('Sortering af spørgsmål'!$C$9=Projektforudsætninger!$C$24,"","-")</f>
        <v>-</v>
      </c>
      <c r="N36" s="243" t="str">
        <f>IF('Sortering af spørgsmål'!$C$9=Projektforudsætninger!$C$25,"","-")</f>
        <v>-</v>
      </c>
      <c r="O36" s="243" t="str">
        <f>IF('Sortering af spørgsmål'!$C$9=Projektforudsætninger!$C$26,"","-")</f>
        <v>-</v>
      </c>
      <c r="P36" s="243" t="str">
        <f>IF('Sortering af spørgsmål'!$C$9=Projektforudsætninger!$C$19,"","-")</f>
        <v>-</v>
      </c>
      <c r="Q36" s="254"/>
    </row>
    <row r="37" spans="1:17" ht="15" customHeight="1" x14ac:dyDescent="0.45">
      <c r="A37" s="793"/>
      <c r="B37" s="787"/>
      <c r="C37" s="779"/>
      <c r="D37" s="283">
        <f>Arbejdsark!O70</f>
        <v>1</v>
      </c>
      <c r="E37" s="283">
        <f>D36-D37</f>
        <v>0</v>
      </c>
      <c r="F37" s="283" t="str">
        <f>IF(Projektforudsætninger!B14="Ja",Arbejdsark!U70,"-")</f>
        <v>-</v>
      </c>
      <c r="G37" s="283" t="str">
        <f>IF(Projektforudsætninger!$B$14="Ja",F36-F37,"-")</f>
        <v>-</v>
      </c>
      <c r="H37" s="239" t="s">
        <v>499</v>
      </c>
      <c r="I37" s="244" t="str">
        <f>IF('Sortering af spørgsmål'!$C$9=Projektforudsætninger!$C$20,"","-")</f>
        <v>-</v>
      </c>
      <c r="J37" s="244" t="str">
        <f>IF('Sortering af spørgsmål'!$C$9=Projektforudsætninger!$C$21,"","-")</f>
        <v>-</v>
      </c>
      <c r="K37" s="244" t="str">
        <f>IF('Sortering af spørgsmål'!$C$9=Projektforudsætninger!$C$22,"","-")</f>
        <v>-</v>
      </c>
      <c r="L37" s="244" t="str">
        <f>IF('Sortering af spørgsmål'!$C$9=Projektforudsætninger!$C$23,"","-")</f>
        <v>-</v>
      </c>
      <c r="M37" s="244" t="str">
        <f>IF('Sortering af spørgsmål'!$C$9=Projektforudsætninger!$C$24,"","-")</f>
        <v>-</v>
      </c>
      <c r="N37" s="244" t="str">
        <f>IF('Sortering af spørgsmål'!$C$9=Projektforudsætninger!$C$25,"","-")</f>
        <v>-</v>
      </c>
      <c r="O37" s="244" t="str">
        <f>IF('Sortering af spørgsmål'!$C$9=Projektforudsætninger!$C$26,"","-")</f>
        <v>-</v>
      </c>
      <c r="P37" s="244" t="str">
        <f>IF('Sortering af spørgsmål'!$C$9=Projektforudsætninger!$C$19,"","-")</f>
        <v>-</v>
      </c>
      <c r="Q37" s="255"/>
    </row>
    <row r="38" spans="1:17" ht="15" customHeight="1" x14ac:dyDescent="0.45">
      <c r="A38" s="793"/>
      <c r="B38" s="787"/>
      <c r="C38" s="779"/>
      <c r="D38" s="284">
        <f>Arbejdsark!O71</f>
        <v>0</v>
      </c>
      <c r="E38" s="284">
        <f>D36-D38</f>
        <v>1</v>
      </c>
      <c r="F38" s="284" t="str">
        <f>IF(Projektforudsætninger!B14="Ja",Arbejdsark!U71,"-")</f>
        <v>-</v>
      </c>
      <c r="G38" s="284" t="str">
        <f>IF(Projektforudsætninger!$B$14="Ja",F36-F38,"-")</f>
        <v>-</v>
      </c>
      <c r="H38" s="241" t="s">
        <v>495</v>
      </c>
      <c r="I38" s="245" t="str">
        <f>IF('Sortering af spørgsmål'!$C$9=Projektforudsætninger!$C$20,"","-")</f>
        <v>-</v>
      </c>
      <c r="J38" s="245" t="str">
        <f>IF('Sortering af spørgsmål'!$C$9=Projektforudsætninger!$C$21,"","-")</f>
        <v>-</v>
      </c>
      <c r="K38" s="245" t="str">
        <f>IF('Sortering af spørgsmål'!$C$9=Projektforudsætninger!$C$22,"","-")</f>
        <v>-</v>
      </c>
      <c r="L38" s="245" t="str">
        <f>IF('Sortering af spørgsmål'!$C$9=Projektforudsætninger!$C$23,"","-")</f>
        <v>-</v>
      </c>
      <c r="M38" s="245" t="str">
        <f>IF('Sortering af spørgsmål'!$C$9=Projektforudsætninger!$C$24,"","-")</f>
        <v>-</v>
      </c>
      <c r="N38" s="245" t="str">
        <f>IF('Sortering af spørgsmål'!$C$9=Projektforudsætninger!$C$25,"","-")</f>
        <v>-</v>
      </c>
      <c r="O38" s="245" t="str">
        <f>IF('Sortering af spørgsmål'!$C$9=Projektforudsætninger!$C$26,"","-")</f>
        <v>-</v>
      </c>
      <c r="P38" s="245" t="str">
        <f>IF('Sortering af spørgsmål'!$C$9=Projektforudsætninger!$C$19,"","-")</f>
        <v>-</v>
      </c>
      <c r="Q38" s="255"/>
    </row>
    <row r="39" spans="1:17" s="222" customFormat="1" ht="15" customHeight="1" x14ac:dyDescent="0.45">
      <c r="A39" s="793"/>
      <c r="B39" s="787" t="str">
        <f>Arbejdsark!A73</f>
        <v>Bebyggelsestæthed</v>
      </c>
      <c r="C39" s="779" t="str">
        <f>Arbejdsark!C73</f>
        <v>Bebyggelsestæthed</v>
      </c>
      <c r="D39" s="282">
        <f>Arbejdsark!O74</f>
        <v>1</v>
      </c>
      <c r="E39" s="282">
        <f>D39-D39</f>
        <v>0</v>
      </c>
      <c r="F39" s="282" t="str">
        <f>IF(Projektforudsætninger!B14="Ja",Arbejdsark!U74,"-")</f>
        <v>-</v>
      </c>
      <c r="G39" s="282" t="str">
        <f>IF(Projektforudsætninger!$B$14="Ja",F39-F39,"-")</f>
        <v>-</v>
      </c>
      <c r="H39" s="237" t="s">
        <v>498</v>
      </c>
      <c r="I39" s="243" t="str">
        <f>IF('Sortering af spørgsmål'!$C$10=Projektforudsætninger!$C$20,"","-")</f>
        <v>-</v>
      </c>
      <c r="J39" s="243" t="str">
        <f>IF('Sortering af spørgsmål'!$C$10=Projektforudsætninger!$C$21,"","-")</f>
        <v>-</v>
      </c>
      <c r="K39" s="243" t="str">
        <f>IF('Sortering af spørgsmål'!$C$10=Projektforudsætninger!$C$22,"","-")</f>
        <v>-</v>
      </c>
      <c r="L39" s="243" t="str">
        <f>IF('Sortering af spørgsmål'!$C$10=Projektforudsætninger!$C$23,"","-")</f>
        <v>-</v>
      </c>
      <c r="M39" s="243" t="str">
        <f>IF('Sortering af spørgsmål'!$C$10=Projektforudsætninger!$C$24,"","-")</f>
        <v>-</v>
      </c>
      <c r="N39" s="243" t="str">
        <f>IF('Sortering af spørgsmål'!$C$10=Projektforudsætninger!$C$25,"","-")</f>
        <v>-</v>
      </c>
      <c r="O39" s="243" t="str">
        <f>IF('Sortering af spørgsmål'!$C$10=Projektforudsætninger!$C$26,"","-")</f>
        <v>-</v>
      </c>
      <c r="P39" s="243" t="str">
        <f>IF('Sortering af spørgsmål'!$C$10=Projektforudsætninger!$C$19,"","-")</f>
        <v>-</v>
      </c>
      <c r="Q39" s="254"/>
    </row>
    <row r="40" spans="1:17" ht="15" customHeight="1" x14ac:dyDescent="0.45">
      <c r="A40" s="793"/>
      <c r="B40" s="787"/>
      <c r="C40" s="779"/>
      <c r="D40" s="283">
        <f>Arbejdsark!O75</f>
        <v>1</v>
      </c>
      <c r="E40" s="283">
        <f>D39-D40</f>
        <v>0</v>
      </c>
      <c r="F40" s="283" t="str">
        <f>IF(Projektforudsætninger!B14="Ja",Arbejdsark!U75,"-")</f>
        <v>-</v>
      </c>
      <c r="G40" s="283" t="str">
        <f>IF(Projektforudsætninger!$B$14="Ja",F39-F40,"-")</f>
        <v>-</v>
      </c>
      <c r="H40" s="239" t="s">
        <v>499</v>
      </c>
      <c r="I40" s="244" t="str">
        <f>IF('Sortering af spørgsmål'!$C$10=Projektforudsætninger!$C$20,"","-")</f>
        <v>-</v>
      </c>
      <c r="J40" s="244" t="str">
        <f>IF('Sortering af spørgsmål'!$C$10=Projektforudsætninger!$C$21,"","-")</f>
        <v>-</v>
      </c>
      <c r="K40" s="244" t="str">
        <f>IF('Sortering af spørgsmål'!$C$10=Projektforudsætninger!$C$22,"","-")</f>
        <v>-</v>
      </c>
      <c r="L40" s="244" t="str">
        <f>IF('Sortering af spørgsmål'!$C$10=Projektforudsætninger!$C$23,"","-")</f>
        <v>-</v>
      </c>
      <c r="M40" s="244" t="str">
        <f>IF('Sortering af spørgsmål'!$C$10=Projektforudsætninger!$C$24,"","-")</f>
        <v>-</v>
      </c>
      <c r="N40" s="244" t="str">
        <f>IF('Sortering af spørgsmål'!$C$10=Projektforudsætninger!$C$25,"","-")</f>
        <v>-</v>
      </c>
      <c r="O40" s="244" t="str">
        <f>IF('Sortering af spørgsmål'!$C$10=Projektforudsætninger!$C$26,"","-")</f>
        <v>-</v>
      </c>
      <c r="P40" s="244" t="str">
        <f>IF('Sortering af spørgsmål'!$C$10=Projektforudsætninger!$C$19,"","-")</f>
        <v>-</v>
      </c>
      <c r="Q40" s="255"/>
    </row>
    <row r="41" spans="1:17" ht="15" customHeight="1" x14ac:dyDescent="0.45">
      <c r="A41" s="793"/>
      <c r="B41" s="787"/>
      <c r="C41" s="779"/>
      <c r="D41" s="284">
        <f>Arbejdsark!O76</f>
        <v>0</v>
      </c>
      <c r="E41" s="284">
        <f>D39-D41</f>
        <v>1</v>
      </c>
      <c r="F41" s="284" t="str">
        <f>IF(Projektforudsætninger!B14="Ja",Arbejdsark!U76,"-")</f>
        <v>-</v>
      </c>
      <c r="G41" s="284" t="str">
        <f>IF(Projektforudsætninger!$B$14="Ja",F39-F41,"-")</f>
        <v>-</v>
      </c>
      <c r="H41" s="241" t="s">
        <v>495</v>
      </c>
      <c r="I41" s="245" t="str">
        <f>IF('Sortering af spørgsmål'!$C$10=Projektforudsætninger!$C$20,"","-")</f>
        <v>-</v>
      </c>
      <c r="J41" s="245" t="str">
        <f>IF('Sortering af spørgsmål'!$C$10=Projektforudsætninger!$C$21,"","-")</f>
        <v>-</v>
      </c>
      <c r="K41" s="245" t="str">
        <f>IF('Sortering af spørgsmål'!$C$10=Projektforudsætninger!$C$22,"","-")</f>
        <v>-</v>
      </c>
      <c r="L41" s="245" t="str">
        <f>IF('Sortering af spørgsmål'!$C$10=Projektforudsætninger!$C$23,"","-")</f>
        <v>-</v>
      </c>
      <c r="M41" s="245" t="str">
        <f>IF('Sortering af spørgsmål'!$C$10=Projektforudsætninger!$C$24,"","-")</f>
        <v>-</v>
      </c>
      <c r="N41" s="245" t="str">
        <f>IF('Sortering af spørgsmål'!$C$10=Projektforudsætninger!$C$25,"","-")</f>
        <v>-</v>
      </c>
      <c r="O41" s="245" t="str">
        <f>IF('Sortering af spørgsmål'!$C$10=Projektforudsætninger!$C$26,"","-")</f>
        <v>-</v>
      </c>
      <c r="P41" s="245" t="str">
        <f>IF('Sortering af spørgsmål'!$C$10=Projektforudsætninger!$C$19,"","-")</f>
        <v>-</v>
      </c>
      <c r="Q41" s="255"/>
    </row>
    <row r="42" spans="1:17" s="222" customFormat="1" ht="15" customHeight="1" x14ac:dyDescent="0.45">
      <c r="A42" s="793"/>
      <c r="B42" s="787" t="str">
        <f>Arbejdsark!A78</f>
        <v>Forurening</v>
      </c>
      <c r="C42" s="779" t="str">
        <f>Arbejdsark!C78</f>
        <v>Jordforurening - håndtering</v>
      </c>
      <c r="D42" s="282">
        <f>Arbejdsark!O79</f>
        <v>2</v>
      </c>
      <c r="E42" s="282">
        <f>D42-D42</f>
        <v>0</v>
      </c>
      <c r="F42" s="282" t="str">
        <f>IF(Projektforudsætninger!B14="Ja",Arbejdsark!U79,"-")</f>
        <v>-</v>
      </c>
      <c r="G42" s="282" t="str">
        <f>IF(Projektforudsætninger!$B$14="Ja",F42-F42,"-")</f>
        <v>-</v>
      </c>
      <c r="H42" s="237" t="s">
        <v>498</v>
      </c>
      <c r="I42" s="243" t="str">
        <f>IF('Sortering af spørgsmål'!$C$11=Projektforudsætninger!$C$20,"","-")</f>
        <v>-</v>
      </c>
      <c r="J42" s="246" t="str">
        <f>IF('Sortering af spørgsmål'!$C$11=Projektforudsætninger!$C$21,"","-")</f>
        <v>-</v>
      </c>
      <c r="K42" s="246" t="str">
        <f>IF('Sortering af spørgsmål'!$C$11=Projektforudsætninger!$C$22,"","-")</f>
        <v>-</v>
      </c>
      <c r="L42" s="246" t="str">
        <f>IF('Sortering af spørgsmål'!$C$11=Projektforudsætninger!$C$23,"","-")</f>
        <v>-</v>
      </c>
      <c r="M42" s="246" t="str">
        <f>IF('Sortering af spørgsmål'!$C$11=Projektforudsætninger!$C$24,"","-")</f>
        <v>-</v>
      </c>
      <c r="N42" s="246" t="str">
        <f>IF('Sortering af spørgsmål'!$C$11=Projektforudsætninger!$C$25,"","-")</f>
        <v>-</v>
      </c>
      <c r="O42" s="246" t="str">
        <f>IF('Sortering af spørgsmål'!$C$11=Projektforudsætninger!$C$26,"","-")</f>
        <v>-</v>
      </c>
      <c r="P42" s="246" t="str">
        <f>IF('Sortering af spørgsmål'!$C$11=Projektforudsætninger!$C$19,"","-")</f>
        <v>-</v>
      </c>
      <c r="Q42" s="256"/>
    </row>
    <row r="43" spans="1:17" ht="15" customHeight="1" x14ac:dyDescent="0.45">
      <c r="A43" s="793"/>
      <c r="B43" s="787"/>
      <c r="C43" s="779"/>
      <c r="D43" s="283">
        <f>Arbejdsark!O80</f>
        <v>1</v>
      </c>
      <c r="E43" s="283">
        <f>D42-D43</f>
        <v>1</v>
      </c>
      <c r="F43" s="283" t="str">
        <f>IF(Projektforudsætninger!B14="Ja",Arbejdsark!U80,"-")</f>
        <v>-</v>
      </c>
      <c r="G43" s="283" t="str">
        <f>IF(Projektforudsætninger!$B$14="Ja",F42-F43,"-")</f>
        <v>-</v>
      </c>
      <c r="H43" s="239" t="s">
        <v>499</v>
      </c>
      <c r="I43" s="244" t="str">
        <f>IF('Sortering af spørgsmål'!$C$11=Projektforudsætninger!$C$20,"","-")</f>
        <v>-</v>
      </c>
      <c r="J43" s="247" t="str">
        <f>IF('Sortering af spørgsmål'!$C$11=Projektforudsætninger!$C$21,"","-")</f>
        <v>-</v>
      </c>
      <c r="K43" s="247" t="str">
        <f>IF('Sortering af spørgsmål'!$C$11=Projektforudsætninger!$C$22,"","-")</f>
        <v>-</v>
      </c>
      <c r="L43" s="247" t="str">
        <f>IF('Sortering af spørgsmål'!$C$11=Projektforudsætninger!$C$23,"","-")</f>
        <v>-</v>
      </c>
      <c r="M43" s="247" t="str">
        <f>IF('Sortering af spørgsmål'!$C$11=Projektforudsætninger!$C$24,"","-")</f>
        <v>-</v>
      </c>
      <c r="N43" s="247" t="str">
        <f>IF('Sortering af spørgsmål'!$C$11=Projektforudsætninger!$C$25,"","-")</f>
        <v>-</v>
      </c>
      <c r="O43" s="247" t="str">
        <f>IF('Sortering af spørgsmål'!$C$11=Projektforudsætninger!$C$26,"","-")</f>
        <v>-</v>
      </c>
      <c r="P43" s="247" t="str">
        <f>IF('Sortering af spørgsmål'!$C$11=Projektforudsætninger!$C$19,"","-")</f>
        <v>-</v>
      </c>
      <c r="Q43" s="257"/>
    </row>
    <row r="44" spans="1:17" ht="15" customHeight="1" x14ac:dyDescent="0.45">
      <c r="A44" s="793"/>
      <c r="B44" s="787"/>
      <c r="C44" s="779"/>
      <c r="D44" s="284">
        <f>Arbejdsark!O81</f>
        <v>0</v>
      </c>
      <c r="E44" s="284">
        <f>D42-D44</f>
        <v>2</v>
      </c>
      <c r="F44" s="284" t="str">
        <f>IF(Projektforudsætninger!B14="Ja",Arbejdsark!U81,"-")</f>
        <v>-</v>
      </c>
      <c r="G44" s="284" t="str">
        <f>IF(Projektforudsætninger!$B$14="Ja",F42-F44,"-")</f>
        <v>-</v>
      </c>
      <c r="H44" s="241" t="s">
        <v>495</v>
      </c>
      <c r="I44" s="245" t="str">
        <f>IF('Sortering af spørgsmål'!$C$11=Projektforudsætninger!$C$20,"","-")</f>
        <v>-</v>
      </c>
      <c r="J44" s="248" t="str">
        <f>IF('Sortering af spørgsmål'!$C$11=Projektforudsætninger!$C$21,"","-")</f>
        <v>-</v>
      </c>
      <c r="K44" s="248" t="str">
        <f>IF('Sortering af spørgsmål'!$C$11=Projektforudsætninger!$C$22,"","-")</f>
        <v>-</v>
      </c>
      <c r="L44" s="248" t="str">
        <f>IF('Sortering af spørgsmål'!$C$11=Projektforudsætninger!$C$23,"","-")</f>
        <v>-</v>
      </c>
      <c r="M44" s="248" t="str">
        <f>IF('Sortering af spørgsmål'!$C$11=Projektforudsætninger!$C$24,"","-")</f>
        <v>-</v>
      </c>
      <c r="N44" s="248" t="str">
        <f>IF('Sortering af spørgsmål'!$C$11=Projektforudsætninger!$C$25,"","-")</f>
        <v>-</v>
      </c>
      <c r="O44" s="248" t="str">
        <f>IF('Sortering af spørgsmål'!$C$11=Projektforudsætninger!$C$26,"","-")</f>
        <v>-</v>
      </c>
      <c r="P44" s="248" t="str">
        <f>IF('Sortering af spørgsmål'!$C$11=Projektforudsætninger!$C$19,"","-")</f>
        <v>-</v>
      </c>
      <c r="Q44" s="257"/>
    </row>
    <row r="45" spans="1:17" s="222" customFormat="1" ht="15" customHeight="1" x14ac:dyDescent="0.45">
      <c r="A45" s="793"/>
      <c r="B45" s="787"/>
      <c r="C45" s="779" t="str">
        <f>Arbejdsark!C84</f>
        <v>Valg af byggegrund</v>
      </c>
      <c r="D45" s="282">
        <f>Arbejdsark!O85</f>
        <v>1</v>
      </c>
      <c r="E45" s="282">
        <f>D45-D45</f>
        <v>0</v>
      </c>
      <c r="F45" s="282" t="str">
        <f>IF(Projektforudsætninger!B14="Ja",Arbejdsark!U85,"-")</f>
        <v>-</v>
      </c>
      <c r="G45" s="282" t="str">
        <f>IF(Projektforudsætninger!$B$14="Ja",F45-F45,"-")</f>
        <v>-</v>
      </c>
      <c r="H45" s="237" t="s">
        <v>498</v>
      </c>
      <c r="I45" s="243" t="str">
        <f>IF('Sortering af spørgsmål'!$C$11=Projektforudsætninger!$C$20,"","-")</f>
        <v>-</v>
      </c>
      <c r="J45" s="246" t="str">
        <f>IF('Sortering af spørgsmål'!$C$11=Projektforudsætninger!$C$21,"","-")</f>
        <v>-</v>
      </c>
      <c r="K45" s="246" t="str">
        <f>IF('Sortering af spørgsmål'!$C$11=Projektforudsætninger!$C$22,"","-")</f>
        <v>-</v>
      </c>
      <c r="L45" s="246" t="str">
        <f>IF('Sortering af spørgsmål'!$C$11=Projektforudsætninger!$C$23,"","-")</f>
        <v>-</v>
      </c>
      <c r="M45" s="246" t="str">
        <f>IF('Sortering af spørgsmål'!$C$11=Projektforudsætninger!$C$24,"","-")</f>
        <v>-</v>
      </c>
      <c r="N45" s="246" t="str">
        <f>IF('Sortering af spørgsmål'!$C$11=Projektforudsætninger!$C$25,"","-")</f>
        <v>-</v>
      </c>
      <c r="O45" s="246" t="str">
        <f>IF('Sortering af spørgsmål'!$C$11=Projektforudsætninger!$C$26,"","-")</f>
        <v>-</v>
      </c>
      <c r="P45" s="246" t="str">
        <f>IF('Sortering af spørgsmål'!$C$11=Projektforudsætninger!$C$19,"","-")</f>
        <v>-</v>
      </c>
      <c r="Q45" s="256"/>
    </row>
    <row r="46" spans="1:17" ht="15" customHeight="1" x14ac:dyDescent="0.45">
      <c r="A46" s="793"/>
      <c r="B46" s="787"/>
      <c r="C46" s="779"/>
      <c r="D46" s="283">
        <f>Arbejdsark!O86</f>
        <v>1</v>
      </c>
      <c r="E46" s="283">
        <f>D45-D46</f>
        <v>0</v>
      </c>
      <c r="F46" s="283" t="str">
        <f>IF(Projektforudsætninger!B14="Ja",Arbejdsark!U86,"-")</f>
        <v>-</v>
      </c>
      <c r="G46" s="283" t="str">
        <f>IF(Projektforudsætninger!$B$14="Ja",F45-F46,"-")</f>
        <v>-</v>
      </c>
      <c r="H46" s="239" t="s">
        <v>499</v>
      </c>
      <c r="I46" s="244" t="str">
        <f>IF('Sortering af spørgsmål'!$C$11=Projektforudsætninger!$C$20,"","-")</f>
        <v>-</v>
      </c>
      <c r="J46" s="247" t="str">
        <f>IF('Sortering af spørgsmål'!$C$11=Projektforudsætninger!$C$21,"","-")</f>
        <v>-</v>
      </c>
      <c r="K46" s="247" t="str">
        <f>IF('Sortering af spørgsmål'!$C$11=Projektforudsætninger!$C$22,"","-")</f>
        <v>-</v>
      </c>
      <c r="L46" s="247" t="str">
        <f>IF('Sortering af spørgsmål'!$C$11=Projektforudsætninger!$C$23,"","-")</f>
        <v>-</v>
      </c>
      <c r="M46" s="247" t="str">
        <f>IF('Sortering af spørgsmål'!$C$11=Projektforudsætninger!$C$24,"","-")</f>
        <v>-</v>
      </c>
      <c r="N46" s="247" t="str">
        <f>IF('Sortering af spørgsmål'!$C$11=Projektforudsætninger!$C$25,"","-")</f>
        <v>-</v>
      </c>
      <c r="O46" s="247" t="str">
        <f>IF('Sortering af spørgsmål'!$C$11=Projektforudsætninger!$C$26,"","-")</f>
        <v>-</v>
      </c>
      <c r="P46" s="247" t="str">
        <f>IF('Sortering af spørgsmål'!$C$11=Projektforudsætninger!$C$19,"","-")</f>
        <v>-</v>
      </c>
      <c r="Q46" s="257"/>
    </row>
    <row r="47" spans="1:17" ht="15" customHeight="1" x14ac:dyDescent="0.45">
      <c r="A47" s="793"/>
      <c r="B47" s="787"/>
      <c r="C47" s="779"/>
      <c r="D47" s="284">
        <f>Arbejdsark!O87</f>
        <v>0</v>
      </c>
      <c r="E47" s="284">
        <f>D45-D47</f>
        <v>1</v>
      </c>
      <c r="F47" s="284" t="str">
        <f>IF(Projektforudsætninger!B14="Ja",Arbejdsark!U87,"-")</f>
        <v>-</v>
      </c>
      <c r="G47" s="284" t="str">
        <f>IF(Projektforudsætninger!$B$14="Ja",F45-F47,"-")</f>
        <v>-</v>
      </c>
      <c r="H47" s="241" t="s">
        <v>495</v>
      </c>
      <c r="I47" s="245" t="str">
        <f>IF('Sortering af spørgsmål'!$C$11=Projektforudsætninger!$C$20,"","-")</f>
        <v>-</v>
      </c>
      <c r="J47" s="248" t="str">
        <f>IF('Sortering af spørgsmål'!$C$11=Projektforudsætninger!$C$21,"","-")</f>
        <v>-</v>
      </c>
      <c r="K47" s="248" t="str">
        <f>IF('Sortering af spørgsmål'!$C$11=Projektforudsætninger!$C$22,"","-")</f>
        <v>-</v>
      </c>
      <c r="L47" s="248" t="str">
        <f>IF('Sortering af spørgsmål'!$C$11=Projektforudsætninger!$C$23,"","-")</f>
        <v>-</v>
      </c>
      <c r="M47" s="248" t="str">
        <f>IF('Sortering af spørgsmål'!$C$11=Projektforudsætninger!$C$24,"","-")</f>
        <v>-</v>
      </c>
      <c r="N47" s="248" t="str">
        <f>IF('Sortering af spørgsmål'!$C$11=Projektforudsætninger!$C$25,"","-")</f>
        <v>-</v>
      </c>
      <c r="O47" s="248" t="str">
        <f>IF('Sortering af spørgsmål'!$C$11=Projektforudsætninger!$C$26,"","-")</f>
        <v>-</v>
      </c>
      <c r="P47" s="248" t="str">
        <f>IF('Sortering af spørgsmål'!$C$11=Projektforudsætninger!$C$19,"","-")</f>
        <v>-</v>
      </c>
      <c r="Q47" s="257"/>
    </row>
    <row r="48" spans="1:17" s="222" customFormat="1" ht="15" customHeight="1" x14ac:dyDescent="0.45">
      <c r="A48" s="788" t="str">
        <f>'Dialogpart 1'!A33</f>
        <v>ØKONOMISK  KVALITET</v>
      </c>
      <c r="B48" s="787" t="str">
        <f>Arbejdsark!A91</f>
        <v>Levetidsomkostninger</v>
      </c>
      <c r="C48" s="779" t="str">
        <f>Arbejdsark!C91</f>
        <v>Holdbare byggematerialer</v>
      </c>
      <c r="D48" s="282">
        <f>Arbejdsark!O92</f>
        <v>6</v>
      </c>
      <c r="E48" s="282">
        <f>D48-D48</f>
        <v>0</v>
      </c>
      <c r="F48" s="282" t="str">
        <f>IF(Projektforudsætninger!B14="Ja",Arbejdsark!U92,"-")</f>
        <v>-</v>
      </c>
      <c r="G48" s="282" t="str">
        <f>IF(Projektforudsætninger!$B$14="Ja",F48-F48,"-")</f>
        <v>-</v>
      </c>
      <c r="H48" s="237" t="s">
        <v>498</v>
      </c>
      <c r="I48" s="243" t="str">
        <f>IF('Sortering af spørgsmål'!$C$12=Projektforudsætninger!$C$20,"","-")</f>
        <v>-</v>
      </c>
      <c r="J48" s="243" t="str">
        <f>IF('Sortering af spørgsmål'!$C$12=Projektforudsætninger!$C$21,"","-")</f>
        <v>-</v>
      </c>
      <c r="K48" s="243" t="str">
        <f>IF('Sortering af spørgsmål'!$C$12=Projektforudsætninger!$C$22,"","-")</f>
        <v>-</v>
      </c>
      <c r="L48" s="243" t="str">
        <f>IF('Sortering af spørgsmål'!$C$12=Projektforudsætninger!$C$23,"","-")</f>
        <v>-</v>
      </c>
      <c r="M48" s="243" t="str">
        <f>IF('Sortering af spørgsmål'!$C$12=Projektforudsætninger!$C$24,"","-")</f>
        <v>-</v>
      </c>
      <c r="N48" s="243" t="str">
        <f>IF('Sortering af spørgsmål'!$C$12=Projektforudsætninger!$C$25,"","-")</f>
        <v>-</v>
      </c>
      <c r="O48" s="243" t="str">
        <f>IF('Sortering af spørgsmål'!$C$12=Projektforudsætninger!$C$26,"","-")</f>
        <v>-</v>
      </c>
      <c r="P48" s="243" t="str">
        <f>IF('Sortering af spørgsmål'!$C$12=Projektforudsætninger!$C$19,"","-")</f>
        <v>-</v>
      </c>
      <c r="Q48" s="254"/>
    </row>
    <row r="49" spans="1:17" ht="15" customHeight="1" x14ac:dyDescent="0.45">
      <c r="A49" s="788"/>
      <c r="B49" s="787"/>
      <c r="C49" s="779"/>
      <c r="D49" s="283">
        <f>Arbejdsark!O93</f>
        <v>3</v>
      </c>
      <c r="E49" s="283">
        <f>D48-D49</f>
        <v>3</v>
      </c>
      <c r="F49" s="283" t="str">
        <f>IF(Projektforudsætninger!B14="Ja",Arbejdsark!U93,"-")</f>
        <v>-</v>
      </c>
      <c r="G49" s="283" t="str">
        <f>IF(Projektforudsætninger!$B$14="Ja",F48-F49,"-")</f>
        <v>-</v>
      </c>
      <c r="H49" s="239" t="s">
        <v>499</v>
      </c>
      <c r="I49" s="244" t="str">
        <f>IF('Sortering af spørgsmål'!$C$12=Projektforudsætninger!$C$20,"","-")</f>
        <v>-</v>
      </c>
      <c r="J49" s="244" t="str">
        <f>IF('Sortering af spørgsmål'!$C$12=Projektforudsætninger!$C$21,"","-")</f>
        <v>-</v>
      </c>
      <c r="K49" s="244" t="str">
        <f>IF('Sortering af spørgsmål'!$C$12=Projektforudsætninger!$C$22,"","-")</f>
        <v>-</v>
      </c>
      <c r="L49" s="244" t="str">
        <f>IF('Sortering af spørgsmål'!$C$12=Projektforudsætninger!$C$23,"","-")</f>
        <v>-</v>
      </c>
      <c r="M49" s="244" t="str">
        <f>IF('Sortering af spørgsmål'!$C$12=Projektforudsætninger!$C$24,"","-")</f>
        <v>-</v>
      </c>
      <c r="N49" s="244" t="str">
        <f>IF('Sortering af spørgsmål'!$C$12=Projektforudsætninger!$C$25,"","-")</f>
        <v>-</v>
      </c>
      <c r="O49" s="244" t="str">
        <f>IF('Sortering af spørgsmål'!$C$12=Projektforudsætninger!$C$26,"","-")</f>
        <v>-</v>
      </c>
      <c r="P49" s="244" t="str">
        <f>IF('Sortering af spørgsmål'!$C$12=Projektforudsætninger!$C$19,"","-")</f>
        <v>-</v>
      </c>
      <c r="Q49" s="255"/>
    </row>
    <row r="50" spans="1:17" ht="15" customHeight="1" x14ac:dyDescent="0.45">
      <c r="A50" s="788"/>
      <c r="B50" s="787"/>
      <c r="C50" s="779"/>
      <c r="D50" s="284">
        <f>Arbejdsark!O94</f>
        <v>1</v>
      </c>
      <c r="E50" s="284">
        <f>D48-D50</f>
        <v>5</v>
      </c>
      <c r="F50" s="284" t="str">
        <f>IF(Projektforudsætninger!B14="Ja",Arbejdsark!U94,"-")</f>
        <v>-</v>
      </c>
      <c r="G50" s="284" t="str">
        <f>IF(Projektforudsætninger!$B$14="Ja",F48-F50,"-")</f>
        <v>-</v>
      </c>
      <c r="H50" s="241" t="s">
        <v>495</v>
      </c>
      <c r="I50" s="245" t="str">
        <f>IF('Sortering af spørgsmål'!$C$12=Projektforudsætninger!$C$20,"","-")</f>
        <v>-</v>
      </c>
      <c r="J50" s="245" t="str">
        <f>IF('Sortering af spørgsmål'!$C$12=Projektforudsætninger!$C$21,"","-")</f>
        <v>-</v>
      </c>
      <c r="K50" s="245" t="str">
        <f>IF('Sortering af spørgsmål'!$C$12=Projektforudsætninger!$C$22,"","-")</f>
        <v>-</v>
      </c>
      <c r="L50" s="245" t="str">
        <f>IF('Sortering af spørgsmål'!$C$12=Projektforudsætninger!$C$23,"","-")</f>
        <v>-</v>
      </c>
      <c r="M50" s="245" t="str">
        <f>IF('Sortering af spørgsmål'!$C$12=Projektforudsætninger!$C$24,"","-")</f>
        <v>-</v>
      </c>
      <c r="N50" s="245" t="str">
        <f>IF('Sortering af spørgsmål'!$C$12=Projektforudsætninger!$C$25,"","-")</f>
        <v>-</v>
      </c>
      <c r="O50" s="245" t="str">
        <f>IF('Sortering af spørgsmål'!$C$12=Projektforudsætninger!$C$26,"","-")</f>
        <v>-</v>
      </c>
      <c r="P50" s="245" t="str">
        <f>IF('Sortering af spørgsmål'!$C$12=Projektforudsætninger!$C$19,"","-")</f>
        <v>-</v>
      </c>
      <c r="Q50" s="255"/>
    </row>
    <row r="51" spans="1:17" s="222" customFormat="1" ht="15" customHeight="1" x14ac:dyDescent="0.45">
      <c r="A51" s="788"/>
      <c r="B51" s="787"/>
      <c r="C51" s="779" t="str">
        <f>Arbejdsark!C109</f>
        <v>Renhold</v>
      </c>
      <c r="D51" s="282">
        <f>Arbejdsark!O110</f>
        <v>5</v>
      </c>
      <c r="E51" s="282">
        <f>D51-D51</f>
        <v>0</v>
      </c>
      <c r="F51" s="282" t="str">
        <f>IF(Projektforudsætninger!B14="Ja",Arbejdsark!U110,"-")</f>
        <v>-</v>
      </c>
      <c r="G51" s="282" t="str">
        <f>IF(Projektforudsætninger!$B$14="Ja",F51-F51,"-")</f>
        <v>-</v>
      </c>
      <c r="H51" s="237" t="s">
        <v>498</v>
      </c>
      <c r="I51" s="243" t="str">
        <f>IF('Sortering af spørgsmål'!$C$12=Projektforudsætninger!$C$20,"","-")</f>
        <v>-</v>
      </c>
      <c r="J51" s="243" t="str">
        <f>IF('Sortering af spørgsmål'!$C$12=Projektforudsætninger!$C$21,"","-")</f>
        <v>-</v>
      </c>
      <c r="K51" s="243" t="str">
        <f>IF('Sortering af spørgsmål'!$C$12=Projektforudsætninger!$C$22,"","-")</f>
        <v>-</v>
      </c>
      <c r="L51" s="243" t="str">
        <f>IF('Sortering af spørgsmål'!$C$12=Projektforudsætninger!$C$23,"","-")</f>
        <v>-</v>
      </c>
      <c r="M51" s="243" t="str">
        <f>IF('Sortering af spørgsmål'!$C$12=Projektforudsætninger!$C$24,"","-")</f>
        <v>-</v>
      </c>
      <c r="N51" s="243" t="str">
        <f>IF('Sortering af spørgsmål'!$C$12=Projektforudsætninger!$C$25,"","-")</f>
        <v>-</v>
      </c>
      <c r="O51" s="243" t="str">
        <f>IF('Sortering af spørgsmål'!$C$12=Projektforudsætninger!$C$26,"","-")</f>
        <v>-</v>
      </c>
      <c r="P51" s="243" t="str">
        <f>IF('Sortering af spørgsmål'!$C$12=Projektforudsætninger!$C$19,"","-")</f>
        <v>-</v>
      </c>
      <c r="Q51" s="254"/>
    </row>
    <row r="52" spans="1:17" ht="15" customHeight="1" x14ac:dyDescent="0.45">
      <c r="A52" s="788"/>
      <c r="B52" s="787"/>
      <c r="C52" s="779"/>
      <c r="D52" s="283">
        <f>Arbejdsark!O111</f>
        <v>3</v>
      </c>
      <c r="E52" s="283">
        <f>D51-D52</f>
        <v>2</v>
      </c>
      <c r="F52" s="283" t="str">
        <f>IF(Projektforudsætninger!B14="Ja",Arbejdsark!U111,"-")</f>
        <v>-</v>
      </c>
      <c r="G52" s="283" t="str">
        <f>IF(Projektforudsætninger!$B$14="Ja",F51-F52,"-")</f>
        <v>-</v>
      </c>
      <c r="H52" s="239" t="s">
        <v>499</v>
      </c>
      <c r="I52" s="244" t="str">
        <f>IF('Sortering af spørgsmål'!$C$12=Projektforudsætninger!$C$20,"","-")</f>
        <v>-</v>
      </c>
      <c r="J52" s="244" t="str">
        <f>IF('Sortering af spørgsmål'!$C$12=Projektforudsætninger!$C$21,"","-")</f>
        <v>-</v>
      </c>
      <c r="K52" s="244" t="str">
        <f>IF('Sortering af spørgsmål'!$C$12=Projektforudsætninger!$C$22,"","-")</f>
        <v>-</v>
      </c>
      <c r="L52" s="244" t="str">
        <f>IF('Sortering af spørgsmål'!$C$12=Projektforudsætninger!$C$23,"","-")</f>
        <v>-</v>
      </c>
      <c r="M52" s="244" t="str">
        <f>IF('Sortering af spørgsmål'!$C$12=Projektforudsætninger!$C$24,"","-")</f>
        <v>-</v>
      </c>
      <c r="N52" s="244" t="str">
        <f>IF('Sortering af spørgsmål'!$C$12=Projektforudsætninger!$C$25,"","-")</f>
        <v>-</v>
      </c>
      <c r="O52" s="244" t="str">
        <f>IF('Sortering af spørgsmål'!$C$12=Projektforudsætninger!$C$26,"","-")</f>
        <v>-</v>
      </c>
      <c r="P52" s="244" t="str">
        <f>IF('Sortering af spørgsmål'!$C$12=Projektforudsætninger!$C$19,"","-")</f>
        <v>-</v>
      </c>
      <c r="Q52" s="255"/>
    </row>
    <row r="53" spans="1:17" ht="15" customHeight="1" x14ac:dyDescent="0.45">
      <c r="A53" s="788"/>
      <c r="B53" s="787"/>
      <c r="C53" s="779"/>
      <c r="D53" s="284">
        <f>Arbejdsark!O112</f>
        <v>1</v>
      </c>
      <c r="E53" s="284">
        <f>D51-D53</f>
        <v>4</v>
      </c>
      <c r="F53" s="284" t="str">
        <f>IF(Projektforudsætninger!B14="Ja",Arbejdsark!U112,"-")</f>
        <v>-</v>
      </c>
      <c r="G53" s="284" t="str">
        <f>IF(Projektforudsætninger!$B$14="Ja",F51-F53,"-")</f>
        <v>-</v>
      </c>
      <c r="H53" s="241" t="s">
        <v>495</v>
      </c>
      <c r="I53" s="245" t="str">
        <f>IF('Sortering af spørgsmål'!$C$12=Projektforudsætninger!$C$20,"","-")</f>
        <v>-</v>
      </c>
      <c r="J53" s="245" t="str">
        <f>IF('Sortering af spørgsmål'!$C$12=Projektforudsætninger!$C$21,"","-")</f>
        <v>-</v>
      </c>
      <c r="K53" s="245" t="str">
        <f>IF('Sortering af spørgsmål'!$C$12=Projektforudsætninger!$C$22,"","-")</f>
        <v>-</v>
      </c>
      <c r="L53" s="245" t="str">
        <f>IF('Sortering af spørgsmål'!$C$12=Projektforudsætninger!$C$23,"","-")</f>
        <v>-</v>
      </c>
      <c r="M53" s="245" t="str">
        <f>IF('Sortering af spørgsmål'!$C$12=Projektforudsætninger!$C$24,"","-")</f>
        <v>-</v>
      </c>
      <c r="N53" s="245" t="str">
        <f>IF('Sortering af spørgsmål'!$C$12=Projektforudsætninger!$C$25,"","-")</f>
        <v>-</v>
      </c>
      <c r="O53" s="245" t="str">
        <f>IF('Sortering af spørgsmål'!$C$12=Projektforudsætninger!$C$26,"","-")</f>
        <v>-</v>
      </c>
      <c r="P53" s="245" t="str">
        <f>IF('Sortering af spørgsmål'!$C$12=Projektforudsætninger!$C$19,"","-")</f>
        <v>-</v>
      </c>
      <c r="Q53" s="255"/>
    </row>
    <row r="54" spans="1:17" s="222" customFormat="1" ht="15" customHeight="1" x14ac:dyDescent="0.45">
      <c r="A54" s="788"/>
      <c r="B54" s="787" t="str">
        <f>Arbejdsark!A114</f>
        <v>Fleksibilitet</v>
      </c>
      <c r="C54" s="779" t="str">
        <f>Arbejdsark!C114</f>
        <v>Rumhøjder</v>
      </c>
      <c r="D54" s="282">
        <f>Arbejdsark!O115</f>
        <v>3</v>
      </c>
      <c r="E54" s="282">
        <f>D54-D54</f>
        <v>0</v>
      </c>
      <c r="F54" s="282" t="str">
        <f>IF(Projektforudsætninger!B14="Ja",Arbejdsark!U115,"-")</f>
        <v>-</v>
      </c>
      <c r="G54" s="282" t="str">
        <f>IF(Projektforudsætninger!$B$14="Ja",F54-F54,"-")</f>
        <v>-</v>
      </c>
      <c r="H54" s="237" t="s">
        <v>498</v>
      </c>
      <c r="I54" s="243" t="str">
        <f>IF('Sortering af spørgsmål'!$C$13=Projektforudsætninger!$C$20,"","-")</f>
        <v>-</v>
      </c>
      <c r="J54" s="243" t="str">
        <f>IF('Sortering af spørgsmål'!$C$13=Projektforudsætninger!$C$21,"","-")</f>
        <v>-</v>
      </c>
      <c r="K54" s="243" t="str">
        <f>IF('Sortering af spørgsmål'!$C$13=Projektforudsætninger!$C$22,"","-")</f>
        <v>-</v>
      </c>
      <c r="L54" s="243" t="str">
        <f>IF('Sortering af spørgsmål'!$C$13=Projektforudsætninger!$C$23,"","-")</f>
        <v>-</v>
      </c>
      <c r="M54" s="243" t="str">
        <f>IF('Sortering af spørgsmål'!$C$13=Projektforudsætninger!$C$24,"","-")</f>
        <v>-</v>
      </c>
      <c r="N54" s="243" t="str">
        <f>IF('Sortering af spørgsmål'!$C$13=Projektforudsætninger!$C$25,"","-")</f>
        <v>-</v>
      </c>
      <c r="O54" s="243" t="str">
        <f>IF('Sortering af spørgsmål'!$C$13=Projektforudsætninger!$C$26,"","-")</f>
        <v>-</v>
      </c>
      <c r="P54" s="243" t="str">
        <f>IF('Sortering af spørgsmål'!$C$13=Projektforudsætninger!$C$19,"","-")</f>
        <v>-</v>
      </c>
      <c r="Q54" s="254"/>
    </row>
    <row r="55" spans="1:17" ht="15" customHeight="1" x14ac:dyDescent="0.45">
      <c r="A55" s="788"/>
      <c r="B55" s="787"/>
      <c r="C55" s="779"/>
      <c r="D55" s="283">
        <f>Arbejdsark!O116</f>
        <v>1</v>
      </c>
      <c r="E55" s="283">
        <f>D54-D55</f>
        <v>2</v>
      </c>
      <c r="F55" s="283" t="str">
        <f>IF(Projektforudsætninger!B14="Ja",Arbejdsark!U116,"-")</f>
        <v>-</v>
      </c>
      <c r="G55" s="283" t="str">
        <f>IF(Projektforudsætninger!$B$14="Ja",F54-F55,"-")</f>
        <v>-</v>
      </c>
      <c r="H55" s="239" t="s">
        <v>499</v>
      </c>
      <c r="I55" s="244" t="str">
        <f>IF('Sortering af spørgsmål'!$C$13=Projektforudsætninger!$C$20,"","-")</f>
        <v>-</v>
      </c>
      <c r="J55" s="244" t="str">
        <f>IF('Sortering af spørgsmål'!$C$13=Projektforudsætninger!$C$21,"","-")</f>
        <v>-</v>
      </c>
      <c r="K55" s="244" t="str">
        <f>IF('Sortering af spørgsmål'!$C$13=Projektforudsætninger!$C$22,"","-")</f>
        <v>-</v>
      </c>
      <c r="L55" s="244" t="str">
        <f>IF('Sortering af spørgsmål'!$C$13=Projektforudsætninger!$C$23,"","-")</f>
        <v>-</v>
      </c>
      <c r="M55" s="244" t="str">
        <f>IF('Sortering af spørgsmål'!$C$13=Projektforudsætninger!$C$24,"","-")</f>
        <v>-</v>
      </c>
      <c r="N55" s="244" t="str">
        <f>IF('Sortering af spørgsmål'!$C$13=Projektforudsætninger!$C$25,"","-")</f>
        <v>-</v>
      </c>
      <c r="O55" s="244" t="str">
        <f>IF('Sortering af spørgsmål'!$C$13=Projektforudsætninger!$C$26,"","-")</f>
        <v>-</v>
      </c>
      <c r="P55" s="244" t="str">
        <f>IF('Sortering af spørgsmål'!$C$13=Projektforudsætninger!$C$19,"","-")</f>
        <v>-</v>
      </c>
      <c r="Q55" s="255"/>
    </row>
    <row r="56" spans="1:17" s="33" customFormat="1" ht="15" customHeight="1" x14ac:dyDescent="0.45">
      <c r="A56" s="788"/>
      <c r="B56" s="787"/>
      <c r="C56" s="779"/>
      <c r="D56" s="284">
        <f>Arbejdsark!O117</f>
        <v>0</v>
      </c>
      <c r="E56" s="284">
        <f>D54-D56</f>
        <v>3</v>
      </c>
      <c r="F56" s="284" t="str">
        <f>IF(Projektforudsætninger!B14="Ja",Arbejdsark!U117,"-")</f>
        <v>-</v>
      </c>
      <c r="G56" s="284" t="str">
        <f>IF(Projektforudsætninger!$B$14="Ja",F54-F56,"-")</f>
        <v>-</v>
      </c>
      <c r="H56" s="241" t="s">
        <v>495</v>
      </c>
      <c r="I56" s="245" t="str">
        <f>IF('Sortering af spørgsmål'!$C$13=Projektforudsætninger!$C$20,"","-")</f>
        <v>-</v>
      </c>
      <c r="J56" s="245" t="str">
        <f>IF('Sortering af spørgsmål'!$C$13=Projektforudsætninger!$C$21,"","-")</f>
        <v>-</v>
      </c>
      <c r="K56" s="245" t="str">
        <f>IF('Sortering af spørgsmål'!$C$13=Projektforudsætninger!$C$22,"","-")</f>
        <v>-</v>
      </c>
      <c r="L56" s="245" t="str">
        <f>IF('Sortering af spørgsmål'!$C$13=Projektforudsætninger!$C$23,"","-")</f>
        <v>-</v>
      </c>
      <c r="M56" s="245" t="str">
        <f>IF('Sortering af spørgsmål'!$C$13=Projektforudsætninger!$C$24,"","-")</f>
        <v>-</v>
      </c>
      <c r="N56" s="245" t="str">
        <f>IF('Sortering af spørgsmål'!$C$13=Projektforudsætninger!$C$25,"","-")</f>
        <v>-</v>
      </c>
      <c r="O56" s="245" t="str">
        <f>IF('Sortering af spørgsmål'!$C$13=Projektforudsætninger!$C$26,"","-")</f>
        <v>-</v>
      </c>
      <c r="P56" s="245" t="str">
        <f>IF('Sortering af spørgsmål'!$C$13=Projektforudsætninger!$C$19,"","-")</f>
        <v>-</v>
      </c>
      <c r="Q56" s="255"/>
    </row>
    <row r="57" spans="1:17" s="222" customFormat="1" ht="15" customHeight="1" x14ac:dyDescent="0.45">
      <c r="A57" s="788"/>
      <c r="B57" s="787"/>
      <c r="C57" s="779" t="str">
        <f>Arbejdsark!C119</f>
        <v>Bygningsdybde</v>
      </c>
      <c r="D57" s="282">
        <f>Arbejdsark!O120</f>
        <v>4</v>
      </c>
      <c r="E57" s="282">
        <f>D57-D57</f>
        <v>0</v>
      </c>
      <c r="F57" s="282" t="str">
        <f>IF(Projektforudsætninger!B14="Ja",Arbejdsark!U120,"-")</f>
        <v>-</v>
      </c>
      <c r="G57" s="282" t="str">
        <f>IF(Projektforudsætninger!$B$14="Ja",F57-F57,"-")</f>
        <v>-</v>
      </c>
      <c r="H57" s="237" t="s">
        <v>498</v>
      </c>
      <c r="I57" s="243" t="str">
        <f>IF('Sortering af spørgsmål'!$C$13=Projektforudsætninger!$C$20,"","-")</f>
        <v>-</v>
      </c>
      <c r="J57" s="243" t="str">
        <f>IF('Sortering af spørgsmål'!$C$13=Projektforudsætninger!$C$21,"","-")</f>
        <v>-</v>
      </c>
      <c r="K57" s="243" t="str">
        <f>IF('Sortering af spørgsmål'!$C$13=Projektforudsætninger!$C$22,"","-")</f>
        <v>-</v>
      </c>
      <c r="L57" s="243" t="str">
        <f>IF('Sortering af spørgsmål'!$C$13=Projektforudsætninger!$C$23,"","-")</f>
        <v>-</v>
      </c>
      <c r="M57" s="243" t="str">
        <f>IF('Sortering af spørgsmål'!$C$13=Projektforudsætninger!$C$24,"","-")</f>
        <v>-</v>
      </c>
      <c r="N57" s="243" t="str">
        <f>IF('Sortering af spørgsmål'!$C$13=Projektforudsætninger!$C$25,"","-")</f>
        <v>-</v>
      </c>
      <c r="O57" s="243" t="str">
        <f>IF('Sortering af spørgsmål'!$C$13=Projektforudsætninger!$C$26,"","-")</f>
        <v>-</v>
      </c>
      <c r="P57" s="243" t="str">
        <f>IF('Sortering af spørgsmål'!$C$13=Projektforudsætninger!$C$19,"","-")</f>
        <v>-</v>
      </c>
      <c r="Q57" s="254"/>
    </row>
    <row r="58" spans="1:17" ht="15" customHeight="1" x14ac:dyDescent="0.45">
      <c r="A58" s="788"/>
      <c r="B58" s="787"/>
      <c r="C58" s="779"/>
      <c r="D58" s="283">
        <f>Arbejdsark!O121</f>
        <v>2</v>
      </c>
      <c r="E58" s="283">
        <f>D57-D58</f>
        <v>2</v>
      </c>
      <c r="F58" s="283" t="str">
        <f>IF(Projektforudsætninger!B14="Ja",Arbejdsark!U121,"-")</f>
        <v>-</v>
      </c>
      <c r="G58" s="283" t="str">
        <f>IF(Projektforudsætninger!$B$14="Ja",F57-F58,"-")</f>
        <v>-</v>
      </c>
      <c r="H58" s="239" t="s">
        <v>499</v>
      </c>
      <c r="I58" s="244" t="str">
        <f>IF('Sortering af spørgsmål'!$C$13=Projektforudsætninger!$C$20,"","-")</f>
        <v>-</v>
      </c>
      <c r="J58" s="244" t="str">
        <f>IF('Sortering af spørgsmål'!$C$13=Projektforudsætninger!$C$21,"","-")</f>
        <v>-</v>
      </c>
      <c r="K58" s="244" t="str">
        <f>IF('Sortering af spørgsmål'!$C$13=Projektforudsætninger!$C$22,"","-")</f>
        <v>-</v>
      </c>
      <c r="L58" s="244" t="str">
        <f>IF('Sortering af spørgsmål'!$C$13=Projektforudsætninger!$C$23,"","-")</f>
        <v>-</v>
      </c>
      <c r="M58" s="244" t="str">
        <f>IF('Sortering af spørgsmål'!$C$13=Projektforudsætninger!$C$24,"","-")</f>
        <v>-</v>
      </c>
      <c r="N58" s="244" t="str">
        <f>IF('Sortering af spørgsmål'!$C$13=Projektforudsætninger!$C$25,"","-")</f>
        <v>-</v>
      </c>
      <c r="O58" s="244" t="str">
        <f>IF('Sortering af spørgsmål'!$C$13=Projektforudsætninger!$C$26,"","-")</f>
        <v>-</v>
      </c>
      <c r="P58" s="244" t="str">
        <f>IF('Sortering af spørgsmål'!$C$13=Projektforudsætninger!$C$19,"","-")</f>
        <v>-</v>
      </c>
      <c r="Q58" s="255"/>
    </row>
    <row r="59" spans="1:17" ht="15" customHeight="1" x14ac:dyDescent="0.45">
      <c r="A59" s="788"/>
      <c r="B59" s="787"/>
      <c r="C59" s="779"/>
      <c r="D59" s="284">
        <f>Arbejdsark!O122</f>
        <v>1</v>
      </c>
      <c r="E59" s="284">
        <f>D57-D59</f>
        <v>3</v>
      </c>
      <c r="F59" s="284" t="str">
        <f>IF(Projektforudsætninger!B14="Ja",Arbejdsark!U122,"-")</f>
        <v>-</v>
      </c>
      <c r="G59" s="284" t="str">
        <f>IF(Projektforudsætninger!$B$14="Ja",F57-F59,"-")</f>
        <v>-</v>
      </c>
      <c r="H59" s="241" t="s">
        <v>495</v>
      </c>
      <c r="I59" s="245" t="str">
        <f>IF('Sortering af spørgsmål'!$C$13=Projektforudsætninger!$C$20,"","-")</f>
        <v>-</v>
      </c>
      <c r="J59" s="245" t="str">
        <f>IF('Sortering af spørgsmål'!$C$13=Projektforudsætninger!$C$21,"","-")</f>
        <v>-</v>
      </c>
      <c r="K59" s="245" t="str">
        <f>IF('Sortering af spørgsmål'!$C$13=Projektforudsætninger!$C$22,"","-")</f>
        <v>-</v>
      </c>
      <c r="L59" s="245" t="str">
        <f>IF('Sortering af spørgsmål'!$C$13=Projektforudsætninger!$C$23,"","-")</f>
        <v>-</v>
      </c>
      <c r="M59" s="245" t="str">
        <f>IF('Sortering af spørgsmål'!$C$13=Projektforudsætninger!$C$24,"","-")</f>
        <v>-</v>
      </c>
      <c r="N59" s="245" t="str">
        <f>IF('Sortering af spørgsmål'!$C$13=Projektforudsætninger!$C$25,"","-")</f>
        <v>-</v>
      </c>
      <c r="O59" s="245" t="str">
        <f>IF('Sortering af spørgsmål'!$C$13=Projektforudsætninger!$C$26,"","-")</f>
        <v>-</v>
      </c>
      <c r="P59" s="245" t="str">
        <f>IF('Sortering af spørgsmål'!$C$13=Projektforudsætninger!$C$19,"","-")</f>
        <v>-</v>
      </c>
      <c r="Q59" s="255"/>
    </row>
    <row r="60" spans="1:17" s="222" customFormat="1" ht="15" customHeight="1" x14ac:dyDescent="0.45">
      <c r="A60" s="788"/>
      <c r="B60" s="787"/>
      <c r="C60" s="779" t="str">
        <f>Arbejdsark!C124</f>
        <v>Nytteareal</v>
      </c>
      <c r="D60" s="282">
        <f>Arbejdsark!O125</f>
        <v>6</v>
      </c>
      <c r="E60" s="282">
        <f>D60-D60</f>
        <v>0</v>
      </c>
      <c r="F60" s="282" t="str">
        <f>IF(Projektforudsætninger!B14="Ja",Arbejdsark!U125,"-")</f>
        <v>-</v>
      </c>
      <c r="G60" s="282" t="str">
        <f>IF(Projektforudsætninger!$B$14="Ja",F60-F60,"-")</f>
        <v>-</v>
      </c>
      <c r="H60" s="237" t="s">
        <v>498</v>
      </c>
      <c r="I60" s="243" t="str">
        <f>IF('Sortering af spørgsmål'!$C$13=Projektforudsætninger!$C$20,"","-")</f>
        <v>-</v>
      </c>
      <c r="J60" s="243" t="str">
        <f>IF('Sortering af spørgsmål'!$C$13=Projektforudsætninger!$C$21,"","-")</f>
        <v>-</v>
      </c>
      <c r="K60" s="243" t="str">
        <f>IF('Sortering af spørgsmål'!$C$13=Projektforudsætninger!$C$22,"","-")</f>
        <v>-</v>
      </c>
      <c r="L60" s="243" t="str">
        <f>IF('Sortering af spørgsmål'!$C$13=Projektforudsætninger!$C$23,"","-")</f>
        <v>-</v>
      </c>
      <c r="M60" s="243" t="str">
        <f>IF('Sortering af spørgsmål'!$C$13=Projektforudsætninger!$C$24,"","-")</f>
        <v>-</v>
      </c>
      <c r="N60" s="243" t="str">
        <f>IF('Sortering af spørgsmål'!$C$13=Projektforudsætninger!$C$25,"","-")</f>
        <v>-</v>
      </c>
      <c r="O60" s="243" t="str">
        <f>IF('Sortering af spørgsmål'!$C$13=Projektforudsætninger!$C$26,"","-")</f>
        <v>-</v>
      </c>
      <c r="P60" s="243" t="str">
        <f>IF('Sortering af spørgsmål'!$C$13=Projektforudsætninger!$C$19,"","-")</f>
        <v>-</v>
      </c>
      <c r="Q60" s="254"/>
    </row>
    <row r="61" spans="1:17" ht="15" customHeight="1" x14ac:dyDescent="0.45">
      <c r="A61" s="788"/>
      <c r="B61" s="787"/>
      <c r="C61" s="779"/>
      <c r="D61" s="283">
        <f>Arbejdsark!O126</f>
        <v>3</v>
      </c>
      <c r="E61" s="283">
        <f>D60-D61</f>
        <v>3</v>
      </c>
      <c r="F61" s="283" t="str">
        <f>IF(Projektforudsætninger!B14="Ja",Arbejdsark!U126,"-")</f>
        <v>-</v>
      </c>
      <c r="G61" s="283" t="str">
        <f>IF(Projektforudsætninger!$B$14="Ja",F60-F61,"-")</f>
        <v>-</v>
      </c>
      <c r="H61" s="239" t="s">
        <v>499</v>
      </c>
      <c r="I61" s="244" t="str">
        <f>IF('Sortering af spørgsmål'!$C$13=Projektforudsætninger!$C$20,"","-")</f>
        <v>-</v>
      </c>
      <c r="J61" s="244" t="str">
        <f>IF('Sortering af spørgsmål'!$C$13=Projektforudsætninger!$C$21,"","-")</f>
        <v>-</v>
      </c>
      <c r="K61" s="244" t="str">
        <f>IF('Sortering af spørgsmål'!$C$13=Projektforudsætninger!$C$22,"","-")</f>
        <v>-</v>
      </c>
      <c r="L61" s="244" t="str">
        <f>IF('Sortering af spørgsmål'!$C$13=Projektforudsætninger!$C$23,"","-")</f>
        <v>-</v>
      </c>
      <c r="M61" s="244" t="str">
        <f>IF('Sortering af spørgsmål'!$C$13=Projektforudsætninger!$C$24,"","-")</f>
        <v>-</v>
      </c>
      <c r="N61" s="244" t="str">
        <f>IF('Sortering af spørgsmål'!$C$13=Projektforudsætninger!$C$25,"","-")</f>
        <v>-</v>
      </c>
      <c r="O61" s="244" t="str">
        <f>IF('Sortering af spørgsmål'!$C$13=Projektforudsætninger!$C$26,"","-")</f>
        <v>-</v>
      </c>
      <c r="P61" s="244" t="str">
        <f>IF('Sortering af spørgsmål'!$C$13=Projektforudsætninger!$C$19,"","-")</f>
        <v>-</v>
      </c>
      <c r="Q61" s="255"/>
    </row>
    <row r="62" spans="1:17" ht="15" customHeight="1" x14ac:dyDescent="0.45">
      <c r="A62" s="788"/>
      <c r="B62" s="787"/>
      <c r="C62" s="779"/>
      <c r="D62" s="284">
        <f>Arbejdsark!O127</f>
        <v>0</v>
      </c>
      <c r="E62" s="284">
        <f>D60-D62</f>
        <v>6</v>
      </c>
      <c r="F62" s="284" t="str">
        <f>IF(Projektforudsætninger!B14="Ja",Arbejdsark!U127,"-")</f>
        <v>-</v>
      </c>
      <c r="G62" s="284" t="str">
        <f>IF(Projektforudsætninger!$B$14="Ja",F60-F62,"-")</f>
        <v>-</v>
      </c>
      <c r="H62" s="241" t="s">
        <v>495</v>
      </c>
      <c r="I62" s="245" t="str">
        <f>IF('Sortering af spørgsmål'!$C$13=Projektforudsætninger!$C$20,"","-")</f>
        <v>-</v>
      </c>
      <c r="J62" s="245" t="str">
        <f>IF('Sortering af spørgsmål'!$C$13=Projektforudsætninger!$C$21,"","-")</f>
        <v>-</v>
      </c>
      <c r="K62" s="245" t="str">
        <f>IF('Sortering af spørgsmål'!$C$13=Projektforudsætninger!$C$22,"","-")</f>
        <v>-</v>
      </c>
      <c r="L62" s="245" t="str">
        <f>IF('Sortering af spørgsmål'!$C$13=Projektforudsætninger!$C$23,"","-")</f>
        <v>-</v>
      </c>
      <c r="M62" s="245" t="str">
        <f>IF('Sortering af spørgsmål'!$C$13=Projektforudsætninger!$C$24,"","-")</f>
        <v>-</v>
      </c>
      <c r="N62" s="245" t="str">
        <f>IF('Sortering af spørgsmål'!$C$13=Projektforudsætninger!$C$25,"","-")</f>
        <v>-</v>
      </c>
      <c r="O62" s="245" t="str">
        <f>IF('Sortering af spørgsmål'!$C$13=Projektforudsætninger!$C$26,"","-")</f>
        <v>-</v>
      </c>
      <c r="P62" s="245" t="str">
        <f>IF('Sortering af spørgsmål'!$C$13=Projektforudsætninger!$C$19,"","-")</f>
        <v>-</v>
      </c>
      <c r="Q62" s="255"/>
    </row>
    <row r="63" spans="1:17" s="222" customFormat="1" ht="15" customHeight="1" x14ac:dyDescent="0.45">
      <c r="A63" s="788"/>
      <c r="B63" s="787"/>
      <c r="C63" s="779" t="str">
        <f>Arbejdsark!C129</f>
        <v>Sammenlægning af boliger</v>
      </c>
      <c r="D63" s="282">
        <f>Arbejdsark!O130</f>
        <v>3</v>
      </c>
      <c r="E63" s="282">
        <f>D63-D63</f>
        <v>0</v>
      </c>
      <c r="F63" s="282" t="str">
        <f>IF(Projektforudsætninger!B14="Ja",Arbejdsark!U130,"-")</f>
        <v>-</v>
      </c>
      <c r="G63" s="282" t="str">
        <f>IF(Projektforudsætninger!$B$14="Ja",F63-F63,"-")</f>
        <v>-</v>
      </c>
      <c r="H63" s="237" t="s">
        <v>498</v>
      </c>
      <c r="I63" s="243" t="str">
        <f>IF('Sortering af spørgsmål'!$C$13=Projektforudsætninger!$C$20,"","-")</f>
        <v>-</v>
      </c>
      <c r="J63" s="243" t="str">
        <f>IF('Sortering af spørgsmål'!$C$13=Projektforudsætninger!$C$21,"","-")</f>
        <v>-</v>
      </c>
      <c r="K63" s="243" t="str">
        <f>IF('Sortering af spørgsmål'!$C$13=Projektforudsætninger!$C$22,"","-")</f>
        <v>-</v>
      </c>
      <c r="L63" s="243" t="str">
        <f>IF('Sortering af spørgsmål'!$C$13=Projektforudsætninger!$C$23,"","-")</f>
        <v>-</v>
      </c>
      <c r="M63" s="243" t="str">
        <f>IF('Sortering af spørgsmål'!$C$13=Projektforudsætninger!$C$24,"","-")</f>
        <v>-</v>
      </c>
      <c r="N63" s="243" t="str">
        <f>IF('Sortering af spørgsmål'!$C$13=Projektforudsætninger!$C$25,"","-")</f>
        <v>-</v>
      </c>
      <c r="O63" s="243" t="str">
        <f>IF('Sortering af spørgsmål'!$C$13=Projektforudsætninger!$C$26,"","-")</f>
        <v>-</v>
      </c>
      <c r="P63" s="243" t="str">
        <f>IF('Sortering af spørgsmål'!$C$13=Projektforudsætninger!$C$19,"","-")</f>
        <v>-</v>
      </c>
      <c r="Q63" s="254"/>
    </row>
    <row r="64" spans="1:17" ht="15" customHeight="1" x14ac:dyDescent="0.45">
      <c r="A64" s="788"/>
      <c r="B64" s="787"/>
      <c r="C64" s="779"/>
      <c r="D64" s="283">
        <f>Arbejdsark!O131</f>
        <v>2</v>
      </c>
      <c r="E64" s="283">
        <f>D63-D64</f>
        <v>1</v>
      </c>
      <c r="F64" s="283" t="str">
        <f>IF(Projektforudsætninger!B14="Ja",Arbejdsark!U131,"-")</f>
        <v>-</v>
      </c>
      <c r="G64" s="283" t="str">
        <f>IF(Projektforudsætninger!$B$14="Ja",F63-F64,"-")</f>
        <v>-</v>
      </c>
      <c r="H64" s="239" t="s">
        <v>499</v>
      </c>
      <c r="I64" s="244" t="str">
        <f>IF('Sortering af spørgsmål'!$C$13=Projektforudsætninger!$C$20,"","-")</f>
        <v>-</v>
      </c>
      <c r="J64" s="244" t="str">
        <f>IF('Sortering af spørgsmål'!$C$13=Projektforudsætninger!$C$21,"","-")</f>
        <v>-</v>
      </c>
      <c r="K64" s="244" t="str">
        <f>IF('Sortering af spørgsmål'!$C$13=Projektforudsætninger!$C$22,"","-")</f>
        <v>-</v>
      </c>
      <c r="L64" s="244" t="str">
        <f>IF('Sortering af spørgsmål'!$C$13=Projektforudsætninger!$C$23,"","-")</f>
        <v>-</v>
      </c>
      <c r="M64" s="244" t="str">
        <f>IF('Sortering af spørgsmål'!$C$13=Projektforudsætninger!$C$24,"","-")</f>
        <v>-</v>
      </c>
      <c r="N64" s="244" t="str">
        <f>IF('Sortering af spørgsmål'!$C$13=Projektforudsætninger!$C$25,"","-")</f>
        <v>-</v>
      </c>
      <c r="O64" s="244" t="str">
        <f>IF('Sortering af spørgsmål'!$C$13=Projektforudsætninger!$C$26,"","-")</f>
        <v>-</v>
      </c>
      <c r="P64" s="244" t="str">
        <f>IF('Sortering af spørgsmål'!$C$13=Projektforudsætninger!$C$19,"","-")</f>
        <v>-</v>
      </c>
      <c r="Q64" s="255"/>
    </row>
    <row r="65" spans="1:17" ht="15" customHeight="1" x14ac:dyDescent="0.45">
      <c r="A65" s="788"/>
      <c r="B65" s="787"/>
      <c r="C65" s="779"/>
      <c r="D65" s="284">
        <f>Arbejdsark!O132</f>
        <v>0</v>
      </c>
      <c r="E65" s="284">
        <f>D63-D65</f>
        <v>3</v>
      </c>
      <c r="F65" s="284" t="str">
        <f>IF(Projektforudsætninger!B14="Ja",Arbejdsark!U132,"-")</f>
        <v>-</v>
      </c>
      <c r="G65" s="284" t="str">
        <f>IF(Projektforudsætninger!$B$14="Ja",F63-F65,"-")</f>
        <v>-</v>
      </c>
      <c r="H65" s="241" t="s">
        <v>495</v>
      </c>
      <c r="I65" s="245" t="str">
        <f>IF('Sortering af spørgsmål'!$C$13=Projektforudsætninger!$C$20,"","-")</f>
        <v>-</v>
      </c>
      <c r="J65" s="245" t="str">
        <f>IF('Sortering af spørgsmål'!$C$13=Projektforudsætninger!$C$21,"","-")</f>
        <v>-</v>
      </c>
      <c r="K65" s="245" t="str">
        <f>IF('Sortering af spørgsmål'!$C$13=Projektforudsætninger!$C$22,"","-")</f>
        <v>-</v>
      </c>
      <c r="L65" s="245" t="str">
        <f>IF('Sortering af spørgsmål'!$C$13=Projektforudsætninger!$C$23,"","-")</f>
        <v>-</v>
      </c>
      <c r="M65" s="245" t="str">
        <f>IF('Sortering af spørgsmål'!$C$13=Projektforudsætninger!$C$24,"","-")</f>
        <v>-</v>
      </c>
      <c r="N65" s="245" t="str">
        <f>IF('Sortering af spørgsmål'!$C$13=Projektforudsætninger!$C$25,"","-")</f>
        <v>-</v>
      </c>
      <c r="O65" s="245" t="str">
        <f>IF('Sortering af spørgsmål'!$C$13=Projektforudsætninger!$C$26,"","-")</f>
        <v>-</v>
      </c>
      <c r="P65" s="245" t="str">
        <f>IF('Sortering af spørgsmål'!$C$13=Projektforudsætninger!$C$19,"","-")</f>
        <v>-</v>
      </c>
      <c r="Q65" s="255"/>
    </row>
    <row r="66" spans="1:17" s="222" customFormat="1" ht="15" customHeight="1" x14ac:dyDescent="0.45">
      <c r="A66" s="788"/>
      <c r="B66" s="787"/>
      <c r="C66" s="779" t="str">
        <f>Arbejdsark!C134</f>
        <v>Indervægges placering</v>
      </c>
      <c r="D66" s="282">
        <f>Arbejdsark!O135</f>
        <v>2</v>
      </c>
      <c r="E66" s="282">
        <f>D66-D66</f>
        <v>0</v>
      </c>
      <c r="F66" s="282" t="str">
        <f>IF(Projektforudsætninger!B14="Ja",Arbejdsark!U135,"-")</f>
        <v>-</v>
      </c>
      <c r="G66" s="282" t="str">
        <f>IF(Projektforudsætninger!$B$14="Ja",F66-F66,"-")</f>
        <v>-</v>
      </c>
      <c r="H66" s="237" t="s">
        <v>498</v>
      </c>
      <c r="I66" s="243" t="str">
        <f>IF('Sortering af spørgsmål'!$C$13=Projektforudsætninger!$C$20,"","-")</f>
        <v>-</v>
      </c>
      <c r="J66" s="243" t="str">
        <f>IF('Sortering af spørgsmål'!$C$13=Projektforudsætninger!$C$21,"","-")</f>
        <v>-</v>
      </c>
      <c r="K66" s="243" t="str">
        <f>IF('Sortering af spørgsmål'!$C$13=Projektforudsætninger!$C$22,"","-")</f>
        <v>-</v>
      </c>
      <c r="L66" s="243" t="str">
        <f>IF('Sortering af spørgsmål'!$C$13=Projektforudsætninger!$C$23,"","-")</f>
        <v>-</v>
      </c>
      <c r="M66" s="243" t="str">
        <f>IF('Sortering af spørgsmål'!$C$13=Projektforudsætninger!$C$24,"","-")</f>
        <v>-</v>
      </c>
      <c r="N66" s="243" t="str">
        <f>IF('Sortering af spørgsmål'!$C$13=Projektforudsætninger!$C$25,"","-")</f>
        <v>-</v>
      </c>
      <c r="O66" s="243" t="str">
        <f>IF('Sortering af spørgsmål'!$C$13=Projektforudsætninger!$C$26,"","-")</f>
        <v>-</v>
      </c>
      <c r="P66" s="243" t="str">
        <f>IF('Sortering af spørgsmål'!$C$13=Projektforudsætninger!$C$19,"","-")</f>
        <v>-</v>
      </c>
      <c r="Q66" s="254"/>
    </row>
    <row r="67" spans="1:17" ht="15" customHeight="1" x14ac:dyDescent="0.45">
      <c r="A67" s="788"/>
      <c r="B67" s="787"/>
      <c r="C67" s="779"/>
      <c r="D67" s="283">
        <f>Arbejdsark!O136</f>
        <v>1</v>
      </c>
      <c r="E67" s="283">
        <f>D66-D67</f>
        <v>1</v>
      </c>
      <c r="F67" s="283" t="str">
        <f>IF(Projektforudsætninger!B14="Ja",Arbejdsark!U136,"-")</f>
        <v>-</v>
      </c>
      <c r="G67" s="283" t="str">
        <f>IF(Projektforudsætninger!$B$14="Ja",F66-F67,"-")</f>
        <v>-</v>
      </c>
      <c r="H67" s="239" t="s">
        <v>499</v>
      </c>
      <c r="I67" s="244" t="str">
        <f>IF('Sortering af spørgsmål'!$C$13=Projektforudsætninger!$C$20,"","-")</f>
        <v>-</v>
      </c>
      <c r="J67" s="244" t="str">
        <f>IF('Sortering af spørgsmål'!$C$13=Projektforudsætninger!$C$21,"","-")</f>
        <v>-</v>
      </c>
      <c r="K67" s="244" t="str">
        <f>IF('Sortering af spørgsmål'!$C$13=Projektforudsætninger!$C$22,"","-")</f>
        <v>-</v>
      </c>
      <c r="L67" s="244" t="str">
        <f>IF('Sortering af spørgsmål'!$C$13=Projektforudsætninger!$C$23,"","-")</f>
        <v>-</v>
      </c>
      <c r="M67" s="244" t="str">
        <f>IF('Sortering af spørgsmål'!$C$13=Projektforudsætninger!$C$24,"","-")</f>
        <v>-</v>
      </c>
      <c r="N67" s="244" t="str">
        <f>IF('Sortering af spørgsmål'!$C$13=Projektforudsætninger!$C$25,"","-")</f>
        <v>-</v>
      </c>
      <c r="O67" s="244" t="str">
        <f>IF('Sortering af spørgsmål'!$C$13=Projektforudsætninger!$C$26,"","-")</f>
        <v>-</v>
      </c>
      <c r="P67" s="244" t="str">
        <f>IF('Sortering af spørgsmål'!$C$13=Projektforudsætninger!$C$19,"","-")</f>
        <v>-</v>
      </c>
      <c r="Q67" s="255"/>
    </row>
    <row r="68" spans="1:17" ht="15" customHeight="1" x14ac:dyDescent="0.45">
      <c r="A68" s="788"/>
      <c r="B68" s="787"/>
      <c r="C68" s="779"/>
      <c r="D68" s="284">
        <f>Arbejdsark!O137</f>
        <v>0</v>
      </c>
      <c r="E68" s="284">
        <f>D66-D68</f>
        <v>2</v>
      </c>
      <c r="F68" s="284" t="str">
        <f>IF(Projektforudsætninger!B14="Ja",Arbejdsark!U137,"-")</f>
        <v>-</v>
      </c>
      <c r="G68" s="284" t="str">
        <f>IF(Projektforudsætninger!$B$14="Ja",F66-F68,"-")</f>
        <v>-</v>
      </c>
      <c r="H68" s="241" t="s">
        <v>495</v>
      </c>
      <c r="I68" s="245" t="str">
        <f>IF('Sortering af spørgsmål'!$C$13=Projektforudsætninger!$C$20,"","-")</f>
        <v>-</v>
      </c>
      <c r="J68" s="245" t="str">
        <f>IF('Sortering af spørgsmål'!$C$13=Projektforudsætninger!$C$21,"","-")</f>
        <v>-</v>
      </c>
      <c r="K68" s="245" t="str">
        <f>IF('Sortering af spørgsmål'!$C$13=Projektforudsætninger!$C$22,"","-")</f>
        <v>-</v>
      </c>
      <c r="L68" s="245" t="str">
        <f>IF('Sortering af spørgsmål'!$C$13=Projektforudsætninger!$C$23,"","-")</f>
        <v>-</v>
      </c>
      <c r="M68" s="245" t="str">
        <f>IF('Sortering af spørgsmål'!$C$13=Projektforudsætninger!$C$24,"","-")</f>
        <v>-</v>
      </c>
      <c r="N68" s="245" t="str">
        <f>IF('Sortering af spørgsmål'!$C$13=Projektforudsætninger!$C$25,"","-")</f>
        <v>-</v>
      </c>
      <c r="O68" s="245" t="str">
        <f>IF('Sortering af spørgsmål'!$C$13=Projektforudsætninger!$C$26,"","-")</f>
        <v>-</v>
      </c>
      <c r="P68" s="245" t="str">
        <f>IF('Sortering af spørgsmål'!$C$13=Projektforudsætninger!$C$19,"","-")</f>
        <v>-</v>
      </c>
      <c r="Q68" s="255"/>
    </row>
    <row r="69" spans="1:17" s="222" customFormat="1" ht="15" customHeight="1" x14ac:dyDescent="0.45">
      <c r="A69" s="788"/>
      <c r="B69" s="787"/>
      <c r="C69" s="779" t="str">
        <f>Arbejdsark!C139</f>
        <v xml:space="preserve">Installationer - føring </v>
      </c>
      <c r="D69" s="282">
        <f>Arbejdsark!O140</f>
        <v>10</v>
      </c>
      <c r="E69" s="282">
        <f>D69-D69</f>
        <v>0</v>
      </c>
      <c r="F69" s="282" t="str">
        <f>IF(Projektforudsætninger!B14="Ja",Arbejdsark!U140,"-")</f>
        <v>-</v>
      </c>
      <c r="G69" s="282" t="str">
        <f>IF(Projektforudsætninger!$B$14="Ja",F69-F69,"-")</f>
        <v>-</v>
      </c>
      <c r="H69" s="237" t="s">
        <v>498</v>
      </c>
      <c r="I69" s="243" t="str">
        <f>IF('Sortering af spørgsmål'!$C$13=Projektforudsætninger!$C$20,"","-")</f>
        <v>-</v>
      </c>
      <c r="J69" s="243" t="str">
        <f>IF('Sortering af spørgsmål'!$C$13=Projektforudsætninger!$C$21,"","-")</f>
        <v>-</v>
      </c>
      <c r="K69" s="243" t="str">
        <f>IF('Sortering af spørgsmål'!$C$13=Projektforudsætninger!$C$22,"","-")</f>
        <v>-</v>
      </c>
      <c r="L69" s="243" t="str">
        <f>IF('Sortering af spørgsmål'!$C$13=Projektforudsætninger!$C$23,"","-")</f>
        <v>-</v>
      </c>
      <c r="M69" s="243" t="str">
        <f>IF('Sortering af spørgsmål'!$C$13=Projektforudsætninger!$C$24,"","-")</f>
        <v>-</v>
      </c>
      <c r="N69" s="243" t="str">
        <f>IF('Sortering af spørgsmål'!$C$13=Projektforudsætninger!$C$25,"","-")</f>
        <v>-</v>
      </c>
      <c r="O69" s="243" t="str">
        <f>IF('Sortering af spørgsmål'!$C$13=Projektforudsætninger!$C$26,"","-")</f>
        <v>-</v>
      </c>
      <c r="P69" s="243" t="str">
        <f>IF('Sortering af spørgsmål'!$C$13=Projektforudsætninger!$C$19,"","-")</f>
        <v>-</v>
      </c>
      <c r="Q69" s="254"/>
    </row>
    <row r="70" spans="1:17" ht="15" customHeight="1" x14ac:dyDescent="0.45">
      <c r="A70" s="788"/>
      <c r="B70" s="787"/>
      <c r="C70" s="779"/>
      <c r="D70" s="283">
        <f>Arbejdsark!O141</f>
        <v>7</v>
      </c>
      <c r="E70" s="283">
        <f>D69-D70</f>
        <v>3</v>
      </c>
      <c r="F70" s="283" t="str">
        <f>IF(Projektforudsætninger!B14="Ja",Arbejdsark!U141,"-")</f>
        <v>-</v>
      </c>
      <c r="G70" s="283" t="str">
        <f>IF(Projektforudsætninger!$B$14="Ja",F69-F70,"-")</f>
        <v>-</v>
      </c>
      <c r="H70" s="239" t="s">
        <v>499</v>
      </c>
      <c r="I70" s="244" t="str">
        <f>IF('Sortering af spørgsmål'!$C$13=Projektforudsætninger!$C$20,"","-")</f>
        <v>-</v>
      </c>
      <c r="J70" s="244" t="str">
        <f>IF('Sortering af spørgsmål'!$C$13=Projektforudsætninger!$C$21,"","-")</f>
        <v>-</v>
      </c>
      <c r="K70" s="244" t="str">
        <f>IF('Sortering af spørgsmål'!$C$13=Projektforudsætninger!$C$22,"","-")</f>
        <v>-</v>
      </c>
      <c r="L70" s="244" t="str">
        <f>IF('Sortering af spørgsmål'!$C$13=Projektforudsætninger!$C$23,"","-")</f>
        <v>-</v>
      </c>
      <c r="M70" s="244" t="str">
        <f>IF('Sortering af spørgsmål'!$C$13=Projektforudsætninger!$C$24,"","-")</f>
        <v>-</v>
      </c>
      <c r="N70" s="244" t="str">
        <f>IF('Sortering af spørgsmål'!$C$13=Projektforudsætninger!$C$25,"","-")</f>
        <v>-</v>
      </c>
      <c r="O70" s="244" t="str">
        <f>IF('Sortering af spørgsmål'!$C$13=Projektforudsætninger!$C$26,"","-")</f>
        <v>-</v>
      </c>
      <c r="P70" s="244" t="str">
        <f>IF('Sortering af spørgsmål'!$C$13=Projektforudsætninger!$C$19,"","-")</f>
        <v>-</v>
      </c>
      <c r="Q70" s="255"/>
    </row>
    <row r="71" spans="1:17" ht="15" customHeight="1" x14ac:dyDescent="0.45">
      <c r="A71" s="788"/>
      <c r="B71" s="787"/>
      <c r="C71" s="779"/>
      <c r="D71" s="284">
        <f>Arbejdsark!O142</f>
        <v>1</v>
      </c>
      <c r="E71" s="284">
        <f>D69-D71</f>
        <v>9</v>
      </c>
      <c r="F71" s="284" t="str">
        <f>IF(Projektforudsætninger!B14="Ja",Arbejdsark!U142,"-")</f>
        <v>-</v>
      </c>
      <c r="G71" s="284" t="str">
        <f>IF(Projektforudsætninger!$B$14="Ja",F69-F71,"-")</f>
        <v>-</v>
      </c>
      <c r="H71" s="241" t="s">
        <v>495</v>
      </c>
      <c r="I71" s="245" t="str">
        <f>IF('Sortering af spørgsmål'!$C$13=Projektforudsætninger!$C$20,"","-")</f>
        <v>-</v>
      </c>
      <c r="J71" s="245" t="str">
        <f>IF('Sortering af spørgsmål'!$C$13=Projektforudsætninger!$C$21,"","-")</f>
        <v>-</v>
      </c>
      <c r="K71" s="245" t="str">
        <f>IF('Sortering af spørgsmål'!$C$13=Projektforudsætninger!$C$22,"","-")</f>
        <v>-</v>
      </c>
      <c r="L71" s="245" t="str">
        <f>IF('Sortering af spørgsmål'!$C$13=Projektforudsætninger!$C$23,"","-")</f>
        <v>-</v>
      </c>
      <c r="M71" s="245" t="str">
        <f>IF('Sortering af spørgsmål'!$C$13=Projektforudsætninger!$C$24,"","-")</f>
        <v>-</v>
      </c>
      <c r="N71" s="245" t="str">
        <f>IF('Sortering af spørgsmål'!$C$13=Projektforudsætninger!$C$25,"","-")</f>
        <v>-</v>
      </c>
      <c r="O71" s="245" t="str">
        <f>IF('Sortering af spørgsmål'!$C$13=Projektforudsætninger!$C$26,"","-")</f>
        <v>-</v>
      </c>
      <c r="P71" s="245" t="str">
        <f>IF('Sortering af spørgsmål'!$C$13=Projektforudsætninger!$C$19,"","-")</f>
        <v>-</v>
      </c>
      <c r="Q71" s="255"/>
    </row>
    <row r="72" spans="1:17" s="222" customFormat="1" ht="15" customHeight="1" x14ac:dyDescent="0.45">
      <c r="A72" s="788"/>
      <c r="B72" s="787"/>
      <c r="C72" s="779" t="str">
        <f>Arbejdsark!C144</f>
        <v>Installationer - overkapacitet</v>
      </c>
      <c r="D72" s="282">
        <f>Arbejdsark!O145</f>
        <v>3</v>
      </c>
      <c r="E72" s="282">
        <f>D72-D72</f>
        <v>0</v>
      </c>
      <c r="F72" s="282" t="str">
        <f>IF(Projektforudsætninger!B14="Ja",Arbejdsark!U145,"-")</f>
        <v>-</v>
      </c>
      <c r="G72" s="282" t="str">
        <f>IF(Projektforudsætninger!$B$14="Ja",F72-F72,"-")</f>
        <v>-</v>
      </c>
      <c r="H72" s="237" t="s">
        <v>498</v>
      </c>
      <c r="I72" s="243" t="str">
        <f>IF('Sortering af spørgsmål'!$C$13=Projektforudsætninger!$C$20,"","-")</f>
        <v>-</v>
      </c>
      <c r="J72" s="243" t="str">
        <f>IF('Sortering af spørgsmål'!$C$13=Projektforudsætninger!$C$21,"","-")</f>
        <v>-</v>
      </c>
      <c r="K72" s="243" t="str">
        <f>IF('Sortering af spørgsmål'!$C$13=Projektforudsætninger!$C$22,"","-")</f>
        <v>-</v>
      </c>
      <c r="L72" s="243" t="str">
        <f>IF('Sortering af spørgsmål'!$C$13=Projektforudsætninger!$C$23,"","-")</f>
        <v>-</v>
      </c>
      <c r="M72" s="243" t="str">
        <f>IF('Sortering af spørgsmål'!$C$13=Projektforudsætninger!$C$24,"","-")</f>
        <v>-</v>
      </c>
      <c r="N72" s="243" t="str">
        <f>IF('Sortering af spørgsmål'!$C$13=Projektforudsætninger!$C$25,"","-")</f>
        <v>-</v>
      </c>
      <c r="O72" s="243" t="str">
        <f>IF('Sortering af spørgsmål'!$C$13=Projektforudsætninger!$C$26,"","-")</f>
        <v>-</v>
      </c>
      <c r="P72" s="243" t="str">
        <f>IF('Sortering af spørgsmål'!$C$13=Projektforudsætninger!$C$19,"","-")</f>
        <v>-</v>
      </c>
      <c r="Q72" s="254"/>
    </row>
    <row r="73" spans="1:17" ht="15" customHeight="1" x14ac:dyDescent="0.45">
      <c r="A73" s="788"/>
      <c r="B73" s="787"/>
      <c r="C73" s="779"/>
      <c r="D73" s="283">
        <f>Arbejdsark!O146</f>
        <v>2</v>
      </c>
      <c r="E73" s="283">
        <f>D72-D73</f>
        <v>1</v>
      </c>
      <c r="F73" s="283" t="str">
        <f>IF(Projektforudsætninger!B14="Ja",Arbejdsark!U146,"-")</f>
        <v>-</v>
      </c>
      <c r="G73" s="283" t="str">
        <f>IF(Projektforudsætninger!$B$14="Ja",F72-F73,"-")</f>
        <v>-</v>
      </c>
      <c r="H73" s="239" t="s">
        <v>499</v>
      </c>
      <c r="I73" s="244" t="str">
        <f>IF('Sortering af spørgsmål'!$C$13=Projektforudsætninger!$C$20,"","-")</f>
        <v>-</v>
      </c>
      <c r="J73" s="244" t="str">
        <f>IF('Sortering af spørgsmål'!$C$13=Projektforudsætninger!$C$21,"","-")</f>
        <v>-</v>
      </c>
      <c r="K73" s="244" t="str">
        <f>IF('Sortering af spørgsmål'!$C$13=Projektforudsætninger!$C$22,"","-")</f>
        <v>-</v>
      </c>
      <c r="L73" s="244" t="str">
        <f>IF('Sortering af spørgsmål'!$C$13=Projektforudsætninger!$C$23,"","-")</f>
        <v>-</v>
      </c>
      <c r="M73" s="244" t="str">
        <f>IF('Sortering af spørgsmål'!$C$13=Projektforudsætninger!$C$24,"","-")</f>
        <v>-</v>
      </c>
      <c r="N73" s="244" t="str">
        <f>IF('Sortering af spørgsmål'!$C$13=Projektforudsætninger!$C$25,"","-")</f>
        <v>-</v>
      </c>
      <c r="O73" s="244" t="str">
        <f>IF('Sortering af spørgsmål'!$C$13=Projektforudsætninger!$C$26,"","-")</f>
        <v>-</v>
      </c>
      <c r="P73" s="244" t="str">
        <f>IF('Sortering af spørgsmål'!$C$13=Projektforudsætninger!$C$19,"","-")</f>
        <v>-</v>
      </c>
      <c r="Q73" s="255"/>
    </row>
    <row r="74" spans="1:17" ht="15" customHeight="1" x14ac:dyDescent="0.45">
      <c r="A74" s="788"/>
      <c r="B74" s="787"/>
      <c r="C74" s="779"/>
      <c r="D74" s="284">
        <f>Arbejdsark!O147</f>
        <v>0</v>
      </c>
      <c r="E74" s="284">
        <f>D72-D74</f>
        <v>3</v>
      </c>
      <c r="F74" s="284" t="str">
        <f>IF(Projektforudsætninger!B14="Ja",Arbejdsark!U147,"-")</f>
        <v>-</v>
      </c>
      <c r="G74" s="284" t="str">
        <f>IF(Projektforudsætninger!$B$14="Ja",F72-F74,"-")</f>
        <v>-</v>
      </c>
      <c r="H74" s="241" t="s">
        <v>495</v>
      </c>
      <c r="I74" s="245" t="str">
        <f>IF('Sortering af spørgsmål'!$C$13=Projektforudsætninger!$C$20,"","-")</f>
        <v>-</v>
      </c>
      <c r="J74" s="245" t="str">
        <f>IF('Sortering af spørgsmål'!$C$13=Projektforudsætninger!$C$21,"","-")</f>
        <v>-</v>
      </c>
      <c r="K74" s="245" t="str">
        <f>IF('Sortering af spørgsmål'!$C$13=Projektforudsætninger!$C$22,"","-")</f>
        <v>-</v>
      </c>
      <c r="L74" s="245" t="str">
        <f>IF('Sortering af spørgsmål'!$C$13=Projektforudsætninger!$C$23,"","-")</f>
        <v>-</v>
      </c>
      <c r="M74" s="245" t="str">
        <f>IF('Sortering af spørgsmål'!$C$13=Projektforudsætninger!$C$24,"","-")</f>
        <v>-</v>
      </c>
      <c r="N74" s="245" t="str">
        <f>IF('Sortering af spørgsmål'!$C$13=Projektforudsætninger!$C$25,"","-")</f>
        <v>-</v>
      </c>
      <c r="O74" s="245" t="str">
        <f>IF('Sortering af spørgsmål'!$C$13=Projektforudsætninger!$C$26,"","-")</f>
        <v>-</v>
      </c>
      <c r="P74" s="245" t="str">
        <f>IF('Sortering af spørgsmål'!$C$13=Projektforudsætninger!$C$19,"","-")</f>
        <v>-</v>
      </c>
      <c r="Q74" s="255"/>
    </row>
    <row r="75" spans="1:17" s="222" customFormat="1" ht="15" customHeight="1" x14ac:dyDescent="0.45">
      <c r="A75" s="788"/>
      <c r="B75" s="787"/>
      <c r="C75" s="779" t="str">
        <f>Arbejdsark!C149</f>
        <v>Konstruktioners bæreevne</v>
      </c>
      <c r="D75" s="282">
        <f>Arbejdsark!O150</f>
        <v>1</v>
      </c>
      <c r="E75" s="282">
        <f>D75-D75</f>
        <v>0</v>
      </c>
      <c r="F75" s="282" t="str">
        <f>IF(Projektforudsætninger!B14="Ja",Arbejdsark!U150,"-")</f>
        <v>-</v>
      </c>
      <c r="G75" s="282" t="str">
        <f>IF(Projektforudsætninger!$B$14="Ja",F75-F75,"-")</f>
        <v>-</v>
      </c>
      <c r="H75" s="237" t="s">
        <v>498</v>
      </c>
      <c r="I75" s="243" t="str">
        <f>IF('Sortering af spørgsmål'!$C$13=Projektforudsætninger!$C$20,"","-")</f>
        <v>-</v>
      </c>
      <c r="J75" s="243" t="str">
        <f>IF('Sortering af spørgsmål'!$C$13=Projektforudsætninger!$C$21,"","-")</f>
        <v>-</v>
      </c>
      <c r="K75" s="243" t="str">
        <f>IF('Sortering af spørgsmål'!$C$13=Projektforudsætninger!$C$22,"","-")</f>
        <v>-</v>
      </c>
      <c r="L75" s="243" t="str">
        <f>IF('Sortering af spørgsmål'!$C$13=Projektforudsætninger!$C$23,"","-")</f>
        <v>-</v>
      </c>
      <c r="M75" s="243" t="str">
        <f>IF('Sortering af spørgsmål'!$C$13=Projektforudsætninger!$C$24,"","-")</f>
        <v>-</v>
      </c>
      <c r="N75" s="243" t="str">
        <f>IF('Sortering af spørgsmål'!$C$13=Projektforudsætninger!$C$25,"","-")</f>
        <v>-</v>
      </c>
      <c r="O75" s="243" t="str">
        <f>IF('Sortering af spørgsmål'!$C$13=Projektforudsætninger!$C$26,"","-")</f>
        <v>-</v>
      </c>
      <c r="P75" s="243" t="str">
        <f>IF('Sortering af spørgsmål'!$C$13=Projektforudsætninger!$C$19,"","-")</f>
        <v>-</v>
      </c>
      <c r="Q75" s="254"/>
    </row>
    <row r="76" spans="1:17" ht="15" customHeight="1" x14ac:dyDescent="0.45">
      <c r="A76" s="788"/>
      <c r="B76" s="787"/>
      <c r="C76" s="779"/>
      <c r="D76" s="283">
        <f>Arbejdsark!O151</f>
        <v>1</v>
      </c>
      <c r="E76" s="283">
        <f>D75-D76</f>
        <v>0</v>
      </c>
      <c r="F76" s="283" t="str">
        <f>IF(Projektforudsætninger!B14="Ja",Arbejdsark!U151,"-")</f>
        <v>-</v>
      </c>
      <c r="G76" s="283" t="str">
        <f>IF(Projektforudsætninger!$B$14="Ja",F75-F76,"-")</f>
        <v>-</v>
      </c>
      <c r="H76" s="239" t="s">
        <v>499</v>
      </c>
      <c r="I76" s="244" t="str">
        <f>IF('Sortering af spørgsmål'!$C$13=Projektforudsætninger!$C$20,"","-")</f>
        <v>-</v>
      </c>
      <c r="J76" s="244" t="str">
        <f>IF('Sortering af spørgsmål'!$C$13=Projektforudsætninger!$C$21,"","-")</f>
        <v>-</v>
      </c>
      <c r="K76" s="244" t="str">
        <f>IF('Sortering af spørgsmål'!$C$13=Projektforudsætninger!$C$22,"","-")</f>
        <v>-</v>
      </c>
      <c r="L76" s="244" t="str">
        <f>IF('Sortering af spørgsmål'!$C$13=Projektforudsætninger!$C$23,"","-")</f>
        <v>-</v>
      </c>
      <c r="M76" s="244" t="str">
        <f>IF('Sortering af spørgsmål'!$C$13=Projektforudsætninger!$C$24,"","-")</f>
        <v>-</v>
      </c>
      <c r="N76" s="244" t="str">
        <f>IF('Sortering af spørgsmål'!$C$13=Projektforudsætninger!$C$25,"","-")</f>
        <v>-</v>
      </c>
      <c r="O76" s="244" t="str">
        <f>IF('Sortering af spørgsmål'!$C$13=Projektforudsætninger!$C$26,"","-")</f>
        <v>-</v>
      </c>
      <c r="P76" s="244" t="str">
        <f>IF('Sortering af spørgsmål'!$C$13=Projektforudsætninger!$C$19,"","-")</f>
        <v>-</v>
      </c>
      <c r="Q76" s="255"/>
    </row>
    <row r="77" spans="1:17" ht="15" customHeight="1" x14ac:dyDescent="0.45">
      <c r="A77" s="788"/>
      <c r="B77" s="787"/>
      <c r="C77" s="779"/>
      <c r="D77" s="284">
        <f>Arbejdsark!O152</f>
        <v>0</v>
      </c>
      <c r="E77" s="284">
        <f>D75-D77</f>
        <v>1</v>
      </c>
      <c r="F77" s="284" t="str">
        <f>IF(Projektforudsætninger!B14="Ja",Arbejdsark!U152,"-")</f>
        <v>-</v>
      </c>
      <c r="G77" s="284" t="str">
        <f>IF(Projektforudsætninger!$B$14="Ja",F75-F77,"-")</f>
        <v>-</v>
      </c>
      <c r="H77" s="241" t="s">
        <v>495</v>
      </c>
      <c r="I77" s="245" t="str">
        <f>IF('Sortering af spørgsmål'!$C$13=Projektforudsætninger!$C$20,"","-")</f>
        <v>-</v>
      </c>
      <c r="J77" s="245" t="str">
        <f>IF('Sortering af spørgsmål'!$C$13=Projektforudsætninger!$C$21,"","-")</f>
        <v>-</v>
      </c>
      <c r="K77" s="245" t="str">
        <f>IF('Sortering af spørgsmål'!$C$13=Projektforudsætninger!$C$22,"","-")</f>
        <v>-</v>
      </c>
      <c r="L77" s="245" t="str">
        <f>IF('Sortering af spørgsmål'!$C$13=Projektforudsætninger!$C$23,"","-")</f>
        <v>-</v>
      </c>
      <c r="M77" s="245" t="str">
        <f>IF('Sortering af spørgsmål'!$C$13=Projektforudsætninger!$C$24,"","-")</f>
        <v>-</v>
      </c>
      <c r="N77" s="245" t="str">
        <f>IF('Sortering af spørgsmål'!$C$13=Projektforudsætninger!$C$25,"","-")</f>
        <v>-</v>
      </c>
      <c r="O77" s="245" t="str">
        <f>IF('Sortering af spørgsmål'!$C$13=Projektforudsætninger!$C$26,"","-")</f>
        <v>-</v>
      </c>
      <c r="P77" s="245" t="str">
        <f>IF('Sortering af spørgsmål'!$C$13=Projektforudsætninger!$C$19,"","-")</f>
        <v>-</v>
      </c>
      <c r="Q77" s="255"/>
    </row>
    <row r="78" spans="1:17" s="222" customFormat="1" ht="15" customHeight="1" x14ac:dyDescent="0.45">
      <c r="A78" s="788"/>
      <c r="B78" s="787" t="str">
        <f>Arbejdsark!A154</f>
        <v>Robusthed</v>
      </c>
      <c r="C78" s="779" t="str">
        <f>Arbejdsark!C154</f>
        <v>Private uderum/altaner</v>
      </c>
      <c r="D78" s="282">
        <f>Arbejdsark!O155</f>
        <v>1</v>
      </c>
      <c r="E78" s="282">
        <f>D78-D78</f>
        <v>0</v>
      </c>
      <c r="F78" s="282" t="str">
        <f>IF(Projektforudsætninger!B14="Ja",Arbejdsark!U155,"-")</f>
        <v>-</v>
      </c>
      <c r="G78" s="282" t="str">
        <f>IF(Projektforudsætninger!$B$14="Ja",F78-F78,"-")</f>
        <v>-</v>
      </c>
      <c r="H78" s="237" t="s">
        <v>498</v>
      </c>
      <c r="I78" s="246" t="str">
        <f>IF('Sortering af spørgsmål'!$C$14=Projektforudsætninger!$C$20,"","-")</f>
        <v>-</v>
      </c>
      <c r="J78" s="246" t="str">
        <f>IF('Sortering af spørgsmål'!$C$14=Projektforudsætninger!$C$21,"","-")</f>
        <v>-</v>
      </c>
      <c r="K78" s="246" t="str">
        <f>IF('Sortering af spørgsmål'!$C$14=Projektforudsætninger!$C$22,"","-")</f>
        <v>-</v>
      </c>
      <c r="L78" s="246" t="str">
        <f>IF('Sortering af spørgsmål'!$C$14=Projektforudsætninger!$C$23,"","-")</f>
        <v>-</v>
      </c>
      <c r="M78" s="246" t="str">
        <f>IF('Sortering af spørgsmål'!$C$14=Projektforudsætninger!$C$24,"","-")</f>
        <v>-</v>
      </c>
      <c r="N78" s="246" t="str">
        <f>IF('Sortering af spørgsmål'!$C$14=Projektforudsætninger!$C$25,"","-")</f>
        <v>-</v>
      </c>
      <c r="O78" s="246" t="str">
        <f>IF('Sortering af spørgsmål'!$C$14=Projektforudsætninger!$C$26,"","-")</f>
        <v>-</v>
      </c>
      <c r="P78" s="246" t="str">
        <f>IF('Sortering af spørgsmål'!$C$14=Projektforudsætninger!$C$19,"","-")</f>
        <v>-</v>
      </c>
      <c r="Q78" s="256"/>
    </row>
    <row r="79" spans="1:17" ht="15" customHeight="1" x14ac:dyDescent="0.45">
      <c r="A79" s="788"/>
      <c r="B79" s="787"/>
      <c r="C79" s="779"/>
      <c r="D79" s="283">
        <f>Arbejdsark!O156</f>
        <v>1</v>
      </c>
      <c r="E79" s="283">
        <f>D78-D79</f>
        <v>0</v>
      </c>
      <c r="F79" s="283" t="str">
        <f>IF(Projektforudsætninger!B14="Ja",Arbejdsark!U156,"-")</f>
        <v>-</v>
      </c>
      <c r="G79" s="283" t="str">
        <f>IF(Projektforudsætninger!$B$14="Ja",F78-F79,"-")</f>
        <v>-</v>
      </c>
      <c r="H79" s="239" t="s">
        <v>499</v>
      </c>
      <c r="I79" s="247" t="str">
        <f>IF('Sortering af spørgsmål'!$C$14=Projektforudsætninger!$C$20,"","-")</f>
        <v>-</v>
      </c>
      <c r="J79" s="247" t="str">
        <f>IF('Sortering af spørgsmål'!$C$14=Projektforudsætninger!$C$21,"","-")</f>
        <v>-</v>
      </c>
      <c r="K79" s="247" t="str">
        <f>IF('Sortering af spørgsmål'!$C$14=Projektforudsætninger!$C$22,"","-")</f>
        <v>-</v>
      </c>
      <c r="L79" s="247" t="str">
        <f>IF('Sortering af spørgsmål'!$C$14=Projektforudsætninger!$C$23,"","-")</f>
        <v>-</v>
      </c>
      <c r="M79" s="247" t="str">
        <f>IF('Sortering af spørgsmål'!$C$14=Projektforudsætninger!$C$24,"","-")</f>
        <v>-</v>
      </c>
      <c r="N79" s="247" t="str">
        <f>IF('Sortering af spørgsmål'!$C$14=Projektforudsætninger!$C$25,"","-")</f>
        <v>-</v>
      </c>
      <c r="O79" s="247" t="str">
        <f>IF('Sortering af spørgsmål'!$C$14=Projektforudsætninger!$C$26,"","-")</f>
        <v>-</v>
      </c>
      <c r="P79" s="247" t="str">
        <f>IF('Sortering af spørgsmål'!$C$14=Projektforudsætninger!$C$19,"","-")</f>
        <v>-</v>
      </c>
      <c r="Q79" s="257"/>
    </row>
    <row r="80" spans="1:17" ht="15" customHeight="1" x14ac:dyDescent="0.45">
      <c r="A80" s="788"/>
      <c r="B80" s="787"/>
      <c r="C80" s="779"/>
      <c r="D80" s="284">
        <f>Arbejdsark!O157</f>
        <v>0</v>
      </c>
      <c r="E80" s="284">
        <f>D78-D80</f>
        <v>1</v>
      </c>
      <c r="F80" s="284" t="str">
        <f>IF(Projektforudsætninger!B14="Ja",Arbejdsark!U157,"-")</f>
        <v>-</v>
      </c>
      <c r="G80" s="284" t="str">
        <f>IF(Projektforudsætninger!$B$14="Ja",F78-F80,"-")</f>
        <v>-</v>
      </c>
      <c r="H80" s="241" t="s">
        <v>495</v>
      </c>
      <c r="I80" s="248" t="str">
        <f>IF('Sortering af spørgsmål'!$C$14=Projektforudsætninger!$C$20,"","-")</f>
        <v>-</v>
      </c>
      <c r="J80" s="248" t="str">
        <f>IF('Sortering af spørgsmål'!$C$14=Projektforudsætninger!$C$21,"","-")</f>
        <v>-</v>
      </c>
      <c r="K80" s="248" t="str">
        <f>IF('Sortering af spørgsmål'!$C$14=Projektforudsætninger!$C$22,"","-")</f>
        <v>-</v>
      </c>
      <c r="L80" s="248" t="str">
        <f>IF('Sortering af spørgsmål'!$C$14=Projektforudsætninger!$C$23,"","-")</f>
        <v>-</v>
      </c>
      <c r="M80" s="248" t="str">
        <f>IF('Sortering af spørgsmål'!$C$14=Projektforudsætninger!$C$24,"","-")</f>
        <v>-</v>
      </c>
      <c r="N80" s="248" t="str">
        <f>IF('Sortering af spørgsmål'!$C$14=Projektforudsætninger!$C$25,"","-")</f>
        <v>-</v>
      </c>
      <c r="O80" s="248" t="str">
        <f>IF('Sortering af spørgsmål'!$C$14=Projektforudsætninger!$C$26,"","-")</f>
        <v>-</v>
      </c>
      <c r="P80" s="248" t="str">
        <f>IF('Sortering af spørgsmål'!$C$14=Projektforudsætninger!$C$19,"","-")</f>
        <v>-</v>
      </c>
      <c r="Q80" s="257"/>
    </row>
    <row r="81" spans="1:17" s="222" customFormat="1" ht="15" customHeight="1" x14ac:dyDescent="0.45">
      <c r="A81" s="788"/>
      <c r="B81" s="787"/>
      <c r="C81" s="779" t="str">
        <f>Arbejdsark!C159</f>
        <v>Forebyggelse af byggeskader</v>
      </c>
      <c r="D81" s="282">
        <f>Arbejdsark!O160</f>
        <v>6</v>
      </c>
      <c r="E81" s="282">
        <f>D81-D81</f>
        <v>0</v>
      </c>
      <c r="F81" s="282" t="str">
        <f>IF(Projektforudsætninger!B14="Ja",Arbejdsark!U160,"-")</f>
        <v>-</v>
      </c>
      <c r="G81" s="282" t="str">
        <f>IF(Projektforudsætninger!$B$14="Ja",F81-F81,"-")</f>
        <v>-</v>
      </c>
      <c r="H81" s="237" t="s">
        <v>498</v>
      </c>
      <c r="I81" s="246" t="str">
        <f>IF('Sortering af spørgsmål'!$C$14=Projektforudsætninger!$C$20,"","-")</f>
        <v>-</v>
      </c>
      <c r="J81" s="246" t="str">
        <f>IF('Sortering af spørgsmål'!$C$14=Projektforudsætninger!$C$21,"","-")</f>
        <v>-</v>
      </c>
      <c r="K81" s="246" t="str">
        <f>IF('Sortering af spørgsmål'!$C$14=Projektforudsætninger!$C$22,"","-")</f>
        <v>-</v>
      </c>
      <c r="L81" s="246" t="str">
        <f>IF('Sortering af spørgsmål'!$C$14=Projektforudsætninger!$C$23,"","-")</f>
        <v>-</v>
      </c>
      <c r="M81" s="246" t="str">
        <f>IF('Sortering af spørgsmål'!$C$14=Projektforudsætninger!$C$24,"","-")</f>
        <v>-</v>
      </c>
      <c r="N81" s="246" t="str">
        <f>IF('Sortering af spørgsmål'!$C$14=Projektforudsætninger!$C$25,"","-")</f>
        <v>-</v>
      </c>
      <c r="O81" s="246" t="str">
        <f>IF('Sortering af spørgsmål'!$C$14=Projektforudsætninger!$C$26,"","-")</f>
        <v>-</v>
      </c>
      <c r="P81" s="246" t="str">
        <f>IF('Sortering af spørgsmål'!$C$14=Projektforudsætninger!$C$19,"","-")</f>
        <v>-</v>
      </c>
      <c r="Q81" s="256"/>
    </row>
    <row r="82" spans="1:17" ht="15" customHeight="1" x14ac:dyDescent="0.45">
      <c r="A82" s="788"/>
      <c r="B82" s="787"/>
      <c r="C82" s="779"/>
      <c r="D82" s="283">
        <f>Arbejdsark!O161</f>
        <v>3</v>
      </c>
      <c r="E82" s="283">
        <f>D81-D82</f>
        <v>3</v>
      </c>
      <c r="F82" s="283" t="str">
        <f>IF(Projektforudsætninger!B14="Ja",Arbejdsark!U161,"-")</f>
        <v>-</v>
      </c>
      <c r="G82" s="283" t="str">
        <f>IF(Projektforudsætninger!$B$14="Ja",F81-F82,"-")</f>
        <v>-</v>
      </c>
      <c r="H82" s="239" t="s">
        <v>499</v>
      </c>
      <c r="I82" s="247" t="str">
        <f>IF('Sortering af spørgsmål'!$C$14=Projektforudsætninger!$C$20,"","-")</f>
        <v>-</v>
      </c>
      <c r="J82" s="247" t="str">
        <f>IF('Sortering af spørgsmål'!$C$14=Projektforudsætninger!$C$21,"","-")</f>
        <v>-</v>
      </c>
      <c r="K82" s="247" t="str">
        <f>IF('Sortering af spørgsmål'!$C$14=Projektforudsætninger!$C$22,"","-")</f>
        <v>-</v>
      </c>
      <c r="L82" s="247" t="str">
        <f>IF('Sortering af spørgsmål'!$C$14=Projektforudsætninger!$C$23,"","-")</f>
        <v>-</v>
      </c>
      <c r="M82" s="247" t="str">
        <f>IF('Sortering af spørgsmål'!$C$14=Projektforudsætninger!$C$24,"","-")</f>
        <v>-</v>
      </c>
      <c r="N82" s="247" t="str">
        <f>IF('Sortering af spørgsmål'!$C$14=Projektforudsætninger!$C$25,"","-")</f>
        <v>-</v>
      </c>
      <c r="O82" s="247" t="str">
        <f>IF('Sortering af spørgsmål'!$C$14=Projektforudsætninger!$C$26,"","-")</f>
        <v>-</v>
      </c>
      <c r="P82" s="247" t="str">
        <f>IF('Sortering af spørgsmål'!$C$14=Projektforudsætninger!$C$19,"","-")</f>
        <v>-</v>
      </c>
      <c r="Q82" s="257"/>
    </row>
    <row r="83" spans="1:17" ht="15" customHeight="1" x14ac:dyDescent="0.45">
      <c r="A83" s="788"/>
      <c r="B83" s="787"/>
      <c r="C83" s="779"/>
      <c r="D83" s="284">
        <f>Arbejdsark!O162</f>
        <v>0</v>
      </c>
      <c r="E83" s="284">
        <f>D81-D83</f>
        <v>6</v>
      </c>
      <c r="F83" s="284" t="str">
        <f>IF(Projektforudsætninger!B14="Ja",Arbejdsark!U162,"-")</f>
        <v>-</v>
      </c>
      <c r="G83" s="284" t="str">
        <f>IF(Projektforudsætninger!$B$14="Ja",F81-F83,"-")</f>
        <v>-</v>
      </c>
      <c r="H83" s="241" t="s">
        <v>495</v>
      </c>
      <c r="I83" s="248" t="str">
        <f>IF('Sortering af spørgsmål'!$C$14=Projektforudsætninger!$C$20,"","-")</f>
        <v>-</v>
      </c>
      <c r="J83" s="248" t="str">
        <f>IF('Sortering af spørgsmål'!$C$14=Projektforudsætninger!$C$21,"","-")</f>
        <v>-</v>
      </c>
      <c r="K83" s="248" t="str">
        <f>IF('Sortering af spørgsmål'!$C$14=Projektforudsætninger!$C$22,"","-")</f>
        <v>-</v>
      </c>
      <c r="L83" s="248" t="str">
        <f>IF('Sortering af spørgsmål'!$C$14=Projektforudsætninger!$C$23,"","-")</f>
        <v>-</v>
      </c>
      <c r="M83" s="248" t="str">
        <f>IF('Sortering af spørgsmål'!$C$14=Projektforudsætninger!$C$24,"","-")</f>
        <v>-</v>
      </c>
      <c r="N83" s="248" t="str">
        <f>IF('Sortering af spørgsmål'!$C$14=Projektforudsætninger!$C$25,"","-")</f>
        <v>-</v>
      </c>
      <c r="O83" s="248" t="str">
        <f>IF('Sortering af spørgsmål'!$C$14=Projektforudsætninger!$C$26,"","-")</f>
        <v>-</v>
      </c>
      <c r="P83" s="248" t="str">
        <f>IF('Sortering af spørgsmål'!$C$14=Projektforudsætninger!$C$19,"","-")</f>
        <v>-</v>
      </c>
      <c r="Q83" s="257"/>
    </row>
    <row r="84" spans="1:17" s="222" customFormat="1" ht="15" customHeight="1" x14ac:dyDescent="0.45">
      <c r="A84" s="788" t="str">
        <f>'Dialogpart 1'!A53</f>
        <v>SOCIAL KVALITET</v>
      </c>
      <c r="B84" s="787" t="str">
        <f>Arbejdsark!A167</f>
        <v>Indeklima</v>
      </c>
      <c r="C84" s="779" t="str">
        <f>Arbejdsark!C167</f>
        <v>Temperatur</v>
      </c>
      <c r="D84" s="282">
        <f>Arbejdsark!O168</f>
        <v>4</v>
      </c>
      <c r="E84" s="282">
        <f>D84-D84</f>
        <v>0</v>
      </c>
      <c r="F84" s="282" t="str">
        <f>IF(Projektforudsætninger!B14="Ja",Arbejdsark!U168,"-")</f>
        <v>-</v>
      </c>
      <c r="G84" s="282" t="str">
        <f>IF(Projektforudsætninger!$B$14="Ja",F84-F84,"-")</f>
        <v>-</v>
      </c>
      <c r="H84" s="237" t="s">
        <v>498</v>
      </c>
      <c r="I84" s="246" t="str">
        <f>IF('Sortering af spørgsmål'!$C$15=Projektforudsætninger!$C$20,"","-")</f>
        <v>-</v>
      </c>
      <c r="J84" s="246" t="str">
        <f>IF('Sortering af spørgsmål'!$C$15=Projektforudsætninger!$C$21,"","-")</f>
        <v>-</v>
      </c>
      <c r="K84" s="246" t="str">
        <f>IF('Sortering af spørgsmål'!$C$15=Projektforudsætninger!$C$22,"","-")</f>
        <v>-</v>
      </c>
      <c r="L84" s="246" t="str">
        <f>IF('Sortering af spørgsmål'!$C$15=Projektforudsætninger!$C$23,"","-")</f>
        <v>-</v>
      </c>
      <c r="M84" s="246" t="str">
        <f>IF('Sortering af spørgsmål'!$C$15=Projektforudsætninger!$C$24,"","-")</f>
        <v>-</v>
      </c>
      <c r="N84" s="246" t="str">
        <f>IF('Sortering af spørgsmål'!$C$15=Projektforudsætninger!$C$25,"","-")</f>
        <v>-</v>
      </c>
      <c r="O84" s="246" t="str">
        <f>IF('Sortering af spørgsmål'!$C$15=Projektforudsætninger!$C$26,"","-")</f>
        <v>-</v>
      </c>
      <c r="P84" s="246" t="str">
        <f>IF('Sortering af spørgsmål'!$C$15=Projektforudsætninger!$C$19,"","-")</f>
        <v>-</v>
      </c>
      <c r="Q84" s="256"/>
    </row>
    <row r="85" spans="1:17" ht="15" customHeight="1" x14ac:dyDescent="0.45">
      <c r="A85" s="788"/>
      <c r="B85" s="787"/>
      <c r="C85" s="779"/>
      <c r="D85" s="283">
        <f>Arbejdsark!O169</f>
        <v>3</v>
      </c>
      <c r="E85" s="283">
        <f>D84-D85</f>
        <v>1</v>
      </c>
      <c r="F85" s="283" t="str">
        <f>IF(Projektforudsætninger!B14="Ja",Arbejdsark!U169,"-")</f>
        <v>-</v>
      </c>
      <c r="G85" s="283" t="str">
        <f>IF(Projektforudsætninger!$B$14="Ja",F84-F85,"-")</f>
        <v>-</v>
      </c>
      <c r="H85" s="239" t="s">
        <v>499</v>
      </c>
      <c r="I85" s="247" t="str">
        <f>IF('Sortering af spørgsmål'!$C$15=Projektforudsætninger!$C$20,"","-")</f>
        <v>-</v>
      </c>
      <c r="J85" s="247" t="str">
        <f>IF('Sortering af spørgsmål'!$C$15=Projektforudsætninger!$C$21,"","-")</f>
        <v>-</v>
      </c>
      <c r="K85" s="247" t="str">
        <f>IF('Sortering af spørgsmål'!$C$15=Projektforudsætninger!$C$22,"","-")</f>
        <v>-</v>
      </c>
      <c r="L85" s="247" t="str">
        <f>IF('Sortering af spørgsmål'!$C$15=Projektforudsætninger!$C$23,"","-")</f>
        <v>-</v>
      </c>
      <c r="M85" s="247" t="str">
        <f>IF('Sortering af spørgsmål'!$C$15=Projektforudsætninger!$C$24,"","-")</f>
        <v>-</v>
      </c>
      <c r="N85" s="247" t="str">
        <f>IF('Sortering af spørgsmål'!$C$15=Projektforudsætninger!$C$25,"","-")</f>
        <v>-</v>
      </c>
      <c r="O85" s="247" t="str">
        <f>IF('Sortering af spørgsmål'!$C$15=Projektforudsætninger!$C$26,"","-")</f>
        <v>-</v>
      </c>
      <c r="P85" s="247" t="str">
        <f>IF('Sortering af spørgsmål'!$C$15=Projektforudsætninger!$C$19,"","-")</f>
        <v>-</v>
      </c>
      <c r="Q85" s="257"/>
    </row>
    <row r="86" spans="1:17" ht="15" customHeight="1" x14ac:dyDescent="0.45">
      <c r="A86" s="788"/>
      <c r="B86" s="787"/>
      <c r="C86" s="779"/>
      <c r="D86" s="284">
        <f>Arbejdsark!O170</f>
        <v>1</v>
      </c>
      <c r="E86" s="284">
        <f>D84-D86</f>
        <v>3</v>
      </c>
      <c r="F86" s="284" t="str">
        <f>IF(Projektforudsætninger!B14="Ja",Arbejdsark!U170,"-")</f>
        <v>-</v>
      </c>
      <c r="G86" s="284" t="str">
        <f>IF(Projektforudsætninger!$B$14="Ja",F84-F86,"-")</f>
        <v>-</v>
      </c>
      <c r="H86" s="241" t="s">
        <v>495</v>
      </c>
      <c r="I86" s="248" t="str">
        <f>IF('Sortering af spørgsmål'!$C$15=Projektforudsætninger!$C$20,"","-")</f>
        <v>-</v>
      </c>
      <c r="J86" s="248" t="str">
        <f>IF('Sortering af spørgsmål'!$C$15=Projektforudsætninger!$C$21,"","-")</f>
        <v>-</v>
      </c>
      <c r="K86" s="248" t="str">
        <f>IF('Sortering af spørgsmål'!$C$15=Projektforudsætninger!$C$22,"","-")</f>
        <v>-</v>
      </c>
      <c r="L86" s="248" t="str">
        <f>IF('Sortering af spørgsmål'!$C$15=Projektforudsætninger!$C$23,"","-")</f>
        <v>-</v>
      </c>
      <c r="M86" s="248" t="str">
        <f>IF('Sortering af spørgsmål'!$C$15=Projektforudsætninger!$C$24,"","-")</f>
        <v>-</v>
      </c>
      <c r="N86" s="248" t="str">
        <f>IF('Sortering af spørgsmål'!$C$15=Projektforudsætninger!$C$25,"","-")</f>
        <v>-</v>
      </c>
      <c r="O86" s="248" t="str">
        <f>IF('Sortering af spørgsmål'!$C$15=Projektforudsætninger!$C$26,"","-")</f>
        <v>-</v>
      </c>
      <c r="P86" s="248" t="str">
        <f>IF('Sortering af spørgsmål'!$C$15=Projektforudsætninger!$C$19,"","-")</f>
        <v>-</v>
      </c>
      <c r="Q86" s="257"/>
    </row>
    <row r="87" spans="1:17" s="222" customFormat="1" ht="15" customHeight="1" x14ac:dyDescent="0.45">
      <c r="A87" s="788"/>
      <c r="B87" s="787"/>
      <c r="C87" s="779" t="str">
        <f>Arbejdsark!C172</f>
        <v>Træk</v>
      </c>
      <c r="D87" s="282">
        <f>Arbejdsark!O173</f>
        <v>1</v>
      </c>
      <c r="E87" s="282">
        <f>D87-D87</f>
        <v>0</v>
      </c>
      <c r="F87" s="282" t="str">
        <f>IF(Projektforudsætninger!B14="Ja",Arbejdsark!U173,"-")</f>
        <v>-</v>
      </c>
      <c r="G87" s="282" t="str">
        <f>IF(Projektforudsætninger!$B$14="Ja",F87-F87,"-")</f>
        <v>-</v>
      </c>
      <c r="H87" s="237" t="s">
        <v>498</v>
      </c>
      <c r="I87" s="246" t="str">
        <f>IF('Sortering af spørgsmål'!$C$15=Projektforudsætninger!$C$20,"","-")</f>
        <v>-</v>
      </c>
      <c r="J87" s="246" t="str">
        <f>IF('Sortering af spørgsmål'!$C$15=Projektforudsætninger!$C$21,"","-")</f>
        <v>-</v>
      </c>
      <c r="K87" s="246" t="str">
        <f>IF('Sortering af spørgsmål'!$C$15=Projektforudsætninger!$C$22,"","-")</f>
        <v>-</v>
      </c>
      <c r="L87" s="246" t="str">
        <f>IF('Sortering af spørgsmål'!$C$15=Projektforudsætninger!$C$23,"","-")</f>
        <v>-</v>
      </c>
      <c r="M87" s="246" t="str">
        <f>IF('Sortering af spørgsmål'!$C$15=Projektforudsætninger!$C$24,"","-")</f>
        <v>-</v>
      </c>
      <c r="N87" s="246" t="str">
        <f>IF('Sortering af spørgsmål'!$C$15=Projektforudsætninger!$C$25,"","-")</f>
        <v>-</v>
      </c>
      <c r="O87" s="246" t="str">
        <f>IF('Sortering af spørgsmål'!$C$15=Projektforudsætninger!$C$26,"","-")</f>
        <v>-</v>
      </c>
      <c r="P87" s="246" t="str">
        <f>IF('Sortering af spørgsmål'!$C$15=Projektforudsætninger!$C$19,"","-")</f>
        <v>-</v>
      </c>
      <c r="Q87" s="256"/>
    </row>
    <row r="88" spans="1:17" ht="15" customHeight="1" x14ac:dyDescent="0.45">
      <c r="A88" s="788"/>
      <c r="B88" s="787"/>
      <c r="C88" s="779"/>
      <c r="D88" s="283">
        <f>Arbejdsark!O174</f>
        <v>1</v>
      </c>
      <c r="E88" s="283">
        <v>0</v>
      </c>
      <c r="F88" s="283" t="str">
        <f>IF(Projektforudsætninger!B14="Ja",Arbejdsark!U174,"-")</f>
        <v>-</v>
      </c>
      <c r="G88" s="283" t="str">
        <f>IF(Projektforudsætninger!$B$14="Ja",F87-F88,"-")</f>
        <v>-</v>
      </c>
      <c r="H88" s="239" t="s">
        <v>499</v>
      </c>
      <c r="I88" s="247" t="str">
        <f>IF('Sortering af spørgsmål'!$C$15=Projektforudsætninger!$C$20,"","-")</f>
        <v>-</v>
      </c>
      <c r="J88" s="247" t="str">
        <f>IF('Sortering af spørgsmål'!$C$15=Projektforudsætninger!$C$21,"","-")</f>
        <v>-</v>
      </c>
      <c r="K88" s="247" t="str">
        <f>IF('Sortering af spørgsmål'!$C$15=Projektforudsætninger!$C$22,"","-")</f>
        <v>-</v>
      </c>
      <c r="L88" s="247" t="str">
        <f>IF('Sortering af spørgsmål'!$C$15=Projektforudsætninger!$C$23,"","-")</f>
        <v>-</v>
      </c>
      <c r="M88" s="247" t="str">
        <f>IF('Sortering af spørgsmål'!$C$15=Projektforudsætninger!$C$24,"","-")</f>
        <v>-</v>
      </c>
      <c r="N88" s="247" t="str">
        <f>IF('Sortering af spørgsmål'!$C$15=Projektforudsætninger!$C$25,"","-")</f>
        <v>-</v>
      </c>
      <c r="O88" s="247" t="str">
        <f>IF('Sortering af spørgsmål'!$C$15=Projektforudsætninger!$C$26,"","-")</f>
        <v>-</v>
      </c>
      <c r="P88" s="247" t="str">
        <f>IF('Sortering af spørgsmål'!$C$15=Projektforudsætninger!$C$19,"","-")</f>
        <v>-</v>
      </c>
      <c r="Q88" s="257"/>
    </row>
    <row r="89" spans="1:17" ht="15" customHeight="1" x14ac:dyDescent="0.45">
      <c r="A89" s="788"/>
      <c r="B89" s="787"/>
      <c r="C89" s="779"/>
      <c r="D89" s="284">
        <f>Arbejdsark!O175</f>
        <v>0</v>
      </c>
      <c r="E89" s="284">
        <f>D87-D89</f>
        <v>1</v>
      </c>
      <c r="F89" s="284" t="str">
        <f>IF(Projektforudsætninger!B14="Ja",Arbejdsark!U175,"-")</f>
        <v>-</v>
      </c>
      <c r="G89" s="284" t="str">
        <f>IF(Projektforudsætninger!$B$14="Ja",F87-F89,"-")</f>
        <v>-</v>
      </c>
      <c r="H89" s="241" t="s">
        <v>495</v>
      </c>
      <c r="I89" s="248" t="str">
        <f>IF('Sortering af spørgsmål'!$C$15=Projektforudsætninger!$C$20,"","-")</f>
        <v>-</v>
      </c>
      <c r="J89" s="248" t="str">
        <f>IF('Sortering af spørgsmål'!$C$15=Projektforudsætninger!$C$21,"","-")</f>
        <v>-</v>
      </c>
      <c r="K89" s="248" t="str">
        <f>IF('Sortering af spørgsmål'!$C$15=Projektforudsætninger!$C$22,"","-")</f>
        <v>-</v>
      </c>
      <c r="L89" s="248" t="str">
        <f>IF('Sortering af spørgsmål'!$C$15=Projektforudsætninger!$C$23,"","-")</f>
        <v>-</v>
      </c>
      <c r="M89" s="248" t="str">
        <f>IF('Sortering af spørgsmål'!$C$15=Projektforudsætninger!$C$24,"","-")</f>
        <v>-</v>
      </c>
      <c r="N89" s="248" t="str">
        <f>IF('Sortering af spørgsmål'!$C$15=Projektforudsætninger!$C$25,"","-")</f>
        <v>-</v>
      </c>
      <c r="O89" s="248" t="str">
        <f>IF('Sortering af spørgsmål'!$C$15=Projektforudsætninger!$C$26,"","-")</f>
        <v>-</v>
      </c>
      <c r="P89" s="248" t="str">
        <f>IF('Sortering af spørgsmål'!$C$15=Projektforudsætninger!$C$19,"","-")</f>
        <v>-</v>
      </c>
      <c r="Q89" s="257"/>
    </row>
    <row r="90" spans="1:17" s="222" customFormat="1" ht="15" customHeight="1" x14ac:dyDescent="0.45">
      <c r="A90" s="788"/>
      <c r="B90" s="787"/>
      <c r="C90" s="779" t="str">
        <f>Arbejdsark!C177</f>
        <v>Oplevede temperaturforskelle i rummet</v>
      </c>
      <c r="D90" s="282">
        <f>Arbejdsark!O178</f>
        <v>1</v>
      </c>
      <c r="E90" s="282">
        <f>D90-D90</f>
        <v>0</v>
      </c>
      <c r="F90" s="282" t="str">
        <f>IF(Projektforudsætninger!B14="Ja",Arbejdsark!U178,"-")</f>
        <v>-</v>
      </c>
      <c r="G90" s="282" t="str">
        <f>IF(Projektforudsætninger!$B$14="Ja",F90-F90,"-")</f>
        <v>-</v>
      </c>
      <c r="H90" s="237" t="s">
        <v>498</v>
      </c>
      <c r="I90" s="246" t="str">
        <f>IF('Sortering af spørgsmål'!$C$15=Projektforudsætninger!$C$20,"","-")</f>
        <v>-</v>
      </c>
      <c r="J90" s="246" t="str">
        <f>IF('Sortering af spørgsmål'!$C$15=Projektforudsætninger!$C$21,"","-")</f>
        <v>-</v>
      </c>
      <c r="K90" s="246" t="str">
        <f>IF('Sortering af spørgsmål'!$C$15=Projektforudsætninger!$C$22,"","-")</f>
        <v>-</v>
      </c>
      <c r="L90" s="246" t="str">
        <f>IF('Sortering af spørgsmål'!$C$15=Projektforudsætninger!$C$23,"","-")</f>
        <v>-</v>
      </c>
      <c r="M90" s="246" t="str">
        <f>IF('Sortering af spørgsmål'!$C$15=Projektforudsætninger!$C$24,"","-")</f>
        <v>-</v>
      </c>
      <c r="N90" s="246" t="str">
        <f>IF('Sortering af spørgsmål'!$C$15=Projektforudsætninger!$C$25,"","-")</f>
        <v>-</v>
      </c>
      <c r="O90" s="246" t="str">
        <f>IF('Sortering af spørgsmål'!$C$15=Projektforudsætninger!$C$26,"","-")</f>
        <v>-</v>
      </c>
      <c r="P90" s="246" t="str">
        <f>IF('Sortering af spørgsmål'!$C$15=Projektforudsætninger!$C$19,"","-")</f>
        <v>-</v>
      </c>
      <c r="Q90" s="256"/>
    </row>
    <row r="91" spans="1:17" ht="15" customHeight="1" x14ac:dyDescent="0.45">
      <c r="A91" s="788"/>
      <c r="B91" s="787"/>
      <c r="C91" s="779"/>
      <c r="D91" s="283">
        <f>Arbejdsark!O179</f>
        <v>1</v>
      </c>
      <c r="E91" s="283">
        <f>D90-D91</f>
        <v>0</v>
      </c>
      <c r="F91" s="283" t="str">
        <f>IF(Projektforudsætninger!B14="Ja",Arbejdsark!U179,"-")</f>
        <v>-</v>
      </c>
      <c r="G91" s="283" t="str">
        <f>IF(Projektforudsætninger!$B$14="Ja",F90-F91,"-")</f>
        <v>-</v>
      </c>
      <c r="H91" s="239" t="s">
        <v>499</v>
      </c>
      <c r="I91" s="247" t="str">
        <f>IF('Sortering af spørgsmål'!$C$15=Projektforudsætninger!$C$20,"","-")</f>
        <v>-</v>
      </c>
      <c r="J91" s="247" t="str">
        <f>IF('Sortering af spørgsmål'!$C$15=Projektforudsætninger!$C$21,"","-")</f>
        <v>-</v>
      </c>
      <c r="K91" s="247" t="str">
        <f>IF('Sortering af spørgsmål'!$C$15=Projektforudsætninger!$C$22,"","-")</f>
        <v>-</v>
      </c>
      <c r="L91" s="247" t="str">
        <f>IF('Sortering af spørgsmål'!$C$15=Projektforudsætninger!$C$23,"","-")</f>
        <v>-</v>
      </c>
      <c r="M91" s="247" t="str">
        <f>IF('Sortering af spørgsmål'!$C$15=Projektforudsætninger!$C$24,"","-")</f>
        <v>-</v>
      </c>
      <c r="N91" s="247" t="str">
        <f>IF('Sortering af spørgsmål'!$C$15=Projektforudsætninger!$C$25,"","-")</f>
        <v>-</v>
      </c>
      <c r="O91" s="247" t="str">
        <f>IF('Sortering af spørgsmål'!$C$15=Projektforudsætninger!$C$26,"","-")</f>
        <v>-</v>
      </c>
      <c r="P91" s="247" t="str">
        <f>IF('Sortering af spørgsmål'!$C$15=Projektforudsætninger!$C$19,"","-")</f>
        <v>-</v>
      </c>
      <c r="Q91" s="257"/>
    </row>
    <row r="92" spans="1:17" ht="15" customHeight="1" x14ac:dyDescent="0.45">
      <c r="A92" s="788"/>
      <c r="B92" s="787"/>
      <c r="C92" s="779"/>
      <c r="D92" s="284">
        <f>Arbejdsark!O180</f>
        <v>0</v>
      </c>
      <c r="E92" s="284">
        <f>D90-D92</f>
        <v>1</v>
      </c>
      <c r="F92" s="284" t="str">
        <f>IF(Projektforudsætninger!B14="Ja",Arbejdsark!U180,"-")</f>
        <v>-</v>
      </c>
      <c r="G92" s="284" t="str">
        <f>IF(Projektforudsætninger!$B$14="Ja",F90-F92,"-")</f>
        <v>-</v>
      </c>
      <c r="H92" s="241" t="s">
        <v>495</v>
      </c>
      <c r="I92" s="248" t="str">
        <f>IF('Sortering af spørgsmål'!$C$15=Projektforudsætninger!$C$20,"","-")</f>
        <v>-</v>
      </c>
      <c r="J92" s="248" t="str">
        <f>IF('Sortering af spørgsmål'!$C$15=Projektforudsætninger!$C$21,"","-")</f>
        <v>-</v>
      </c>
      <c r="K92" s="248" t="str">
        <f>IF('Sortering af spørgsmål'!$C$15=Projektforudsætninger!$C$22,"","-")</f>
        <v>-</v>
      </c>
      <c r="L92" s="248" t="str">
        <f>IF('Sortering af spørgsmål'!$C$15=Projektforudsætninger!$C$23,"","-")</f>
        <v>-</v>
      </c>
      <c r="M92" s="248" t="str">
        <f>IF('Sortering af spørgsmål'!$C$15=Projektforudsætninger!$C$24,"","-")</f>
        <v>-</v>
      </c>
      <c r="N92" s="248" t="str">
        <f>IF('Sortering af spørgsmål'!$C$15=Projektforudsætninger!$C$25,"","-")</f>
        <v>-</v>
      </c>
      <c r="O92" s="248" t="str">
        <f>IF('Sortering af spørgsmål'!$C$15=Projektforudsætninger!$C$26,"","-")</f>
        <v>-</v>
      </c>
      <c r="P92" s="248" t="str">
        <f>IF('Sortering af spørgsmål'!$C$15=Projektforudsætninger!$C$19,"","-")</f>
        <v>-</v>
      </c>
      <c r="Q92" s="257"/>
    </row>
    <row r="93" spans="1:17" s="222" customFormat="1" ht="15" customHeight="1" x14ac:dyDescent="0.45">
      <c r="A93" s="788"/>
      <c r="B93" s="787"/>
      <c r="C93" s="779" t="str">
        <f>Arbejdsark!C182</f>
        <v xml:space="preserve">Lyd </v>
      </c>
      <c r="D93" s="282">
        <f>Arbejdsark!O183</f>
        <v>6</v>
      </c>
      <c r="E93" s="282">
        <f>D93-D93</f>
        <v>0</v>
      </c>
      <c r="F93" s="282" t="str">
        <f>IF(Projektforudsætninger!B14="Ja",Arbejdsark!U183,"-")</f>
        <v>-</v>
      </c>
      <c r="G93" s="282" t="str">
        <f>IF(Projektforudsætninger!$B$14="Ja",F93-F93,"-")</f>
        <v>-</v>
      </c>
      <c r="H93" s="237" t="s">
        <v>498</v>
      </c>
      <c r="I93" s="246" t="str">
        <f>IF('Sortering af spørgsmål'!$C$15=Projektforudsætninger!$C$20,"","-")</f>
        <v>-</v>
      </c>
      <c r="J93" s="246" t="str">
        <f>IF('Sortering af spørgsmål'!$C$15=Projektforudsætninger!$C$21,"","-")</f>
        <v>-</v>
      </c>
      <c r="K93" s="246" t="str">
        <f>IF('Sortering af spørgsmål'!$C$15=Projektforudsætninger!$C$22,"","-")</f>
        <v>-</v>
      </c>
      <c r="L93" s="246" t="str">
        <f>IF('Sortering af spørgsmål'!$C$15=Projektforudsætninger!$C$23,"","-")</f>
        <v>-</v>
      </c>
      <c r="M93" s="246" t="str">
        <f>IF('Sortering af spørgsmål'!$C$15=Projektforudsætninger!$C$24,"","-")</f>
        <v>-</v>
      </c>
      <c r="N93" s="246" t="str">
        <f>IF('Sortering af spørgsmål'!$C$15=Projektforudsætninger!$C$25,"","-")</f>
        <v>-</v>
      </c>
      <c r="O93" s="246" t="str">
        <f>IF('Sortering af spørgsmål'!$C$15=Projektforudsætninger!$C$26,"","-")</f>
        <v>-</v>
      </c>
      <c r="P93" s="246" t="str">
        <f>IF('Sortering af spørgsmål'!$C$15=Projektforudsætninger!$C$19,"","-")</f>
        <v>-</v>
      </c>
      <c r="Q93" s="256"/>
    </row>
    <row r="94" spans="1:17" ht="15" customHeight="1" x14ac:dyDescent="0.45">
      <c r="A94" s="788"/>
      <c r="B94" s="787"/>
      <c r="C94" s="779"/>
      <c r="D94" s="283">
        <f>Arbejdsark!O184</f>
        <v>5</v>
      </c>
      <c r="E94" s="283">
        <f>D93-D94</f>
        <v>1</v>
      </c>
      <c r="F94" s="283" t="str">
        <f>IF(Projektforudsætninger!B14="Ja",Arbejdsark!U184,"-")</f>
        <v>-</v>
      </c>
      <c r="G94" s="283" t="str">
        <f>IF(Projektforudsætninger!$B$14="Ja",F93-F94,"-")</f>
        <v>-</v>
      </c>
      <c r="H94" s="239" t="s">
        <v>499</v>
      </c>
      <c r="I94" s="247" t="str">
        <f>IF('Sortering af spørgsmål'!$C$15=Projektforudsætninger!$C$20,"","-")</f>
        <v>-</v>
      </c>
      <c r="J94" s="247" t="str">
        <f>IF('Sortering af spørgsmål'!$C$15=Projektforudsætninger!$C$21,"","-")</f>
        <v>-</v>
      </c>
      <c r="K94" s="247" t="str">
        <f>IF('Sortering af spørgsmål'!$C$15=Projektforudsætninger!$C$22,"","-")</f>
        <v>-</v>
      </c>
      <c r="L94" s="247" t="str">
        <f>IF('Sortering af spørgsmål'!$C$15=Projektforudsætninger!$C$23,"","-")</f>
        <v>-</v>
      </c>
      <c r="M94" s="247" t="str">
        <f>IF('Sortering af spørgsmål'!$C$15=Projektforudsætninger!$C$24,"","-")</f>
        <v>-</v>
      </c>
      <c r="N94" s="247" t="str">
        <f>IF('Sortering af spørgsmål'!$C$15=Projektforudsætninger!$C$25,"","-")</f>
        <v>-</v>
      </c>
      <c r="O94" s="247" t="str">
        <f>IF('Sortering af spørgsmål'!$C$15=Projektforudsætninger!$C$26,"","-")</f>
        <v>-</v>
      </c>
      <c r="P94" s="247" t="str">
        <f>IF('Sortering af spørgsmål'!$C$15=Projektforudsætninger!$C$19,"","-")</f>
        <v>-</v>
      </c>
      <c r="Q94" s="257"/>
    </row>
    <row r="95" spans="1:17" ht="15" customHeight="1" x14ac:dyDescent="0.45">
      <c r="A95" s="788"/>
      <c r="B95" s="787"/>
      <c r="C95" s="779"/>
      <c r="D95" s="284">
        <f>Arbejdsark!O185</f>
        <v>0</v>
      </c>
      <c r="E95" s="284">
        <f>D93-D95</f>
        <v>6</v>
      </c>
      <c r="F95" s="284" t="str">
        <f>IF(Projektforudsætninger!B14="Ja",Arbejdsark!U185,"-")</f>
        <v>-</v>
      </c>
      <c r="G95" s="284" t="str">
        <f>IF(Projektforudsætninger!$B$14="Ja",F93-F95,"-")</f>
        <v>-</v>
      </c>
      <c r="H95" s="241" t="s">
        <v>495</v>
      </c>
      <c r="I95" s="248" t="str">
        <f>IF('Sortering af spørgsmål'!$C$15=Projektforudsætninger!$C$20,"","-")</f>
        <v>-</v>
      </c>
      <c r="J95" s="248" t="str">
        <f>IF('Sortering af spørgsmål'!$C$15=Projektforudsætninger!$C$21,"","-")</f>
        <v>-</v>
      </c>
      <c r="K95" s="248" t="str">
        <f>IF('Sortering af spørgsmål'!$C$15=Projektforudsætninger!$C$22,"","-")</f>
        <v>-</v>
      </c>
      <c r="L95" s="248" t="str">
        <f>IF('Sortering af spørgsmål'!$C$15=Projektforudsætninger!$C$23,"","-")</f>
        <v>-</v>
      </c>
      <c r="M95" s="248" t="str">
        <f>IF('Sortering af spørgsmål'!$C$15=Projektforudsætninger!$C$24,"","-")</f>
        <v>-</v>
      </c>
      <c r="N95" s="248" t="str">
        <f>IF('Sortering af spørgsmål'!$C$15=Projektforudsætninger!$C$25,"","-")</f>
        <v>-</v>
      </c>
      <c r="O95" s="248" t="str">
        <f>IF('Sortering af spørgsmål'!$C$15=Projektforudsætninger!$C$26,"","-")</f>
        <v>-</v>
      </c>
      <c r="P95" s="248" t="str">
        <f>IF('Sortering af spørgsmål'!$C$15=Projektforudsætninger!$C$19,"","-")</f>
        <v>-</v>
      </c>
      <c r="Q95" s="257"/>
    </row>
    <row r="96" spans="1:17" s="222" customFormat="1" ht="15" customHeight="1" x14ac:dyDescent="0.45">
      <c r="A96" s="788"/>
      <c r="B96" s="787"/>
      <c r="C96" s="779" t="str">
        <f>Arbejdsark!C187</f>
        <v>Luftkvalitet - mekanisk ventilation</v>
      </c>
      <c r="D96" s="282">
        <f>Arbejdsark!O188</f>
        <v>2</v>
      </c>
      <c r="E96" s="282">
        <f>D96-D96</f>
        <v>0</v>
      </c>
      <c r="F96" s="282" t="str">
        <f>IF(Projektforudsætninger!B14="Ja",Arbejdsark!U188,"-")</f>
        <v>-</v>
      </c>
      <c r="G96" s="282" t="str">
        <f>IF(Projektforudsætninger!$B$14="Ja",F96-F96,"-")</f>
        <v>-</v>
      </c>
      <c r="H96" s="237" t="s">
        <v>498</v>
      </c>
      <c r="I96" s="246" t="str">
        <f>IF('Sortering af spørgsmål'!$C$15=Projektforudsætninger!$C$20,"","-")</f>
        <v>-</v>
      </c>
      <c r="J96" s="246" t="str">
        <f>IF('Sortering af spørgsmål'!$C$15=Projektforudsætninger!$C$21,"","-")</f>
        <v>-</v>
      </c>
      <c r="K96" s="246" t="str">
        <f>IF('Sortering af spørgsmål'!$C$15=Projektforudsætninger!$C$22,"","-")</f>
        <v>-</v>
      </c>
      <c r="L96" s="246" t="str">
        <f>IF('Sortering af spørgsmål'!$C$15=Projektforudsætninger!$C$23,"","-")</f>
        <v>-</v>
      </c>
      <c r="M96" s="246" t="str">
        <f>IF('Sortering af spørgsmål'!$C$15=Projektforudsætninger!$C$24,"","-")</f>
        <v>-</v>
      </c>
      <c r="N96" s="246" t="str">
        <f>IF('Sortering af spørgsmål'!$C$15=Projektforudsætninger!$C$25,"","-")</f>
        <v>-</v>
      </c>
      <c r="O96" s="246" t="str">
        <f>IF('Sortering af spørgsmål'!$C$15=Projektforudsætninger!$C$26,"","-")</f>
        <v>-</v>
      </c>
      <c r="P96" s="246" t="str">
        <f>IF('Sortering af spørgsmål'!$C$15=Projektforudsætninger!$C$19,"","-")</f>
        <v>-</v>
      </c>
      <c r="Q96" s="256"/>
    </row>
    <row r="97" spans="1:17" ht="15" customHeight="1" x14ac:dyDescent="0.45">
      <c r="A97" s="788"/>
      <c r="B97" s="787"/>
      <c r="C97" s="779"/>
      <c r="D97" s="283">
        <f>Arbejdsark!O189</f>
        <v>1</v>
      </c>
      <c r="E97" s="283">
        <f>D96-D97</f>
        <v>1</v>
      </c>
      <c r="F97" s="283" t="str">
        <f>IF(Projektforudsætninger!B14="Ja",Arbejdsark!U189,"-")</f>
        <v>-</v>
      </c>
      <c r="G97" s="283" t="str">
        <f>IF(Projektforudsætninger!$B$14="Ja",F96-F97,"-")</f>
        <v>-</v>
      </c>
      <c r="H97" s="239" t="s">
        <v>499</v>
      </c>
      <c r="I97" s="247" t="str">
        <f>IF('Sortering af spørgsmål'!$C$15=Projektforudsætninger!$C$20,"","-")</f>
        <v>-</v>
      </c>
      <c r="J97" s="247" t="str">
        <f>IF('Sortering af spørgsmål'!$C$15=Projektforudsætninger!$C$21,"","-")</f>
        <v>-</v>
      </c>
      <c r="K97" s="247" t="str">
        <f>IF('Sortering af spørgsmål'!$C$15=Projektforudsætninger!$C$22,"","-")</f>
        <v>-</v>
      </c>
      <c r="L97" s="247" t="str">
        <f>IF('Sortering af spørgsmål'!$C$15=Projektforudsætninger!$C$23,"","-")</f>
        <v>-</v>
      </c>
      <c r="M97" s="247" t="str">
        <f>IF('Sortering af spørgsmål'!$C$15=Projektforudsætninger!$C$24,"","-")</f>
        <v>-</v>
      </c>
      <c r="N97" s="247" t="str">
        <f>IF('Sortering af spørgsmål'!$C$15=Projektforudsætninger!$C$25,"","-")</f>
        <v>-</v>
      </c>
      <c r="O97" s="247" t="str">
        <f>IF('Sortering af spørgsmål'!$C$15=Projektforudsætninger!$C$26,"","-")</f>
        <v>-</v>
      </c>
      <c r="P97" s="247" t="str">
        <f>IF('Sortering af spørgsmål'!$C$15=Projektforudsætninger!$C$19,"","-")</f>
        <v>-</v>
      </c>
      <c r="Q97" s="257"/>
    </row>
    <row r="98" spans="1:17" ht="15" customHeight="1" x14ac:dyDescent="0.45">
      <c r="A98" s="788"/>
      <c r="B98" s="787"/>
      <c r="C98" s="779"/>
      <c r="D98" s="284">
        <f>Arbejdsark!O190</f>
        <v>0</v>
      </c>
      <c r="E98" s="284">
        <f>D96-D98</f>
        <v>2</v>
      </c>
      <c r="F98" s="284" t="str">
        <f>IF(Projektforudsætninger!B14="Ja",Arbejdsark!U190,"-")</f>
        <v>-</v>
      </c>
      <c r="G98" s="284" t="str">
        <f>IF(Projektforudsætninger!$B$14="Ja",F96-F98,"-")</f>
        <v>-</v>
      </c>
      <c r="H98" s="241" t="s">
        <v>495</v>
      </c>
      <c r="I98" s="248" t="str">
        <f>IF('Sortering af spørgsmål'!$C$15=Projektforudsætninger!$C$20,"","-")</f>
        <v>-</v>
      </c>
      <c r="J98" s="248" t="str">
        <f>IF('Sortering af spørgsmål'!$C$15=Projektforudsætninger!$C$21,"","-")</f>
        <v>-</v>
      </c>
      <c r="K98" s="248" t="str">
        <f>IF('Sortering af spørgsmål'!$C$15=Projektforudsætninger!$C$22,"","-")</f>
        <v>-</v>
      </c>
      <c r="L98" s="248" t="str">
        <f>IF('Sortering af spørgsmål'!$C$15=Projektforudsætninger!$C$23,"","-")</f>
        <v>-</v>
      </c>
      <c r="M98" s="248" t="str">
        <f>IF('Sortering af spørgsmål'!$C$15=Projektforudsætninger!$C$24,"","-")</f>
        <v>-</v>
      </c>
      <c r="N98" s="248" t="str">
        <f>IF('Sortering af spørgsmål'!$C$15=Projektforudsætninger!$C$25,"","-")</f>
        <v>-</v>
      </c>
      <c r="O98" s="248" t="str">
        <f>IF('Sortering af spørgsmål'!$C$15=Projektforudsætninger!$C$26,"","-")</f>
        <v>-</v>
      </c>
      <c r="P98" s="248" t="str">
        <f>IF('Sortering af spørgsmål'!$C$15=Projektforudsætninger!$C$19,"","-")</f>
        <v>-</v>
      </c>
      <c r="Q98" s="257"/>
    </row>
    <row r="99" spans="1:17" s="222" customFormat="1" ht="15" customHeight="1" x14ac:dyDescent="0.45">
      <c r="A99" s="788"/>
      <c r="B99" s="787"/>
      <c r="C99" s="779" t="str">
        <f>Arbejdsark!C197</f>
        <v>Lys</v>
      </c>
      <c r="D99" s="282">
        <f>Arbejdsark!O198</f>
        <v>1</v>
      </c>
      <c r="E99" s="282">
        <f>D99-D99</f>
        <v>0</v>
      </c>
      <c r="F99" s="282" t="str">
        <f>IF(Projektforudsætninger!B14="Ja",Arbejdsark!U198,"-")</f>
        <v>-</v>
      </c>
      <c r="G99" s="282" t="str">
        <f>IF(Projektforudsætninger!$B$14="Ja",F99-F99,"-")</f>
        <v>-</v>
      </c>
      <c r="H99" s="237" t="s">
        <v>498</v>
      </c>
      <c r="I99" s="246" t="str">
        <f>IF('Sortering af spørgsmål'!$C$15=Projektforudsætninger!$C$20,"","-")</f>
        <v>-</v>
      </c>
      <c r="J99" s="246" t="str">
        <f>IF('Sortering af spørgsmål'!$C$15=Projektforudsætninger!$C$21,"","-")</f>
        <v>-</v>
      </c>
      <c r="K99" s="246" t="str">
        <f>IF('Sortering af spørgsmål'!$C$15=Projektforudsætninger!$C$22,"","-")</f>
        <v>-</v>
      </c>
      <c r="L99" s="246" t="str">
        <f>IF('Sortering af spørgsmål'!$C$15=Projektforudsætninger!$C$23,"","-")</f>
        <v>-</v>
      </c>
      <c r="M99" s="246" t="str">
        <f>IF('Sortering af spørgsmål'!$C$15=Projektforudsætninger!$C$24,"","-")</f>
        <v>-</v>
      </c>
      <c r="N99" s="246" t="str">
        <f>IF('Sortering af spørgsmål'!$C$15=Projektforudsætninger!$C$25,"","-")</f>
        <v>-</v>
      </c>
      <c r="O99" s="246" t="str">
        <f>IF('Sortering af spørgsmål'!$C$15=Projektforudsætninger!$C$26,"","-")</f>
        <v>-</v>
      </c>
      <c r="P99" s="246" t="str">
        <f>IF('Sortering af spørgsmål'!$C$15=Projektforudsætninger!$C$19,"","-")</f>
        <v>-</v>
      </c>
      <c r="Q99" s="256"/>
    </row>
    <row r="100" spans="1:17" ht="15" customHeight="1" x14ac:dyDescent="0.45">
      <c r="A100" s="788"/>
      <c r="B100" s="787"/>
      <c r="C100" s="779"/>
      <c r="D100" s="283">
        <f>Arbejdsark!O199</f>
        <v>1</v>
      </c>
      <c r="E100" s="283">
        <f>D99-D100</f>
        <v>0</v>
      </c>
      <c r="F100" s="283" t="str">
        <f>IF(Projektforudsætninger!B14="Ja",Arbejdsark!U199,"-")</f>
        <v>-</v>
      </c>
      <c r="G100" s="283" t="str">
        <f>IF(Projektforudsætninger!$B$14="Ja",F99-F100,"-")</f>
        <v>-</v>
      </c>
      <c r="H100" s="239" t="s">
        <v>499</v>
      </c>
      <c r="I100" s="247" t="str">
        <f>IF('Sortering af spørgsmål'!$C$15=Projektforudsætninger!$C$20,"","-")</f>
        <v>-</v>
      </c>
      <c r="J100" s="247" t="str">
        <f>IF('Sortering af spørgsmål'!$C$15=Projektforudsætninger!$C$21,"","-")</f>
        <v>-</v>
      </c>
      <c r="K100" s="247" t="str">
        <f>IF('Sortering af spørgsmål'!$C$15=Projektforudsætninger!$C$22,"","-")</f>
        <v>-</v>
      </c>
      <c r="L100" s="247" t="str">
        <f>IF('Sortering af spørgsmål'!$C$15=Projektforudsætninger!$C$23,"","-")</f>
        <v>-</v>
      </c>
      <c r="M100" s="247" t="str">
        <f>IF('Sortering af spørgsmål'!$C$15=Projektforudsætninger!$C$24,"","-")</f>
        <v>-</v>
      </c>
      <c r="N100" s="247" t="str">
        <f>IF('Sortering af spørgsmål'!$C$15=Projektforudsætninger!$C$25,"","-")</f>
        <v>-</v>
      </c>
      <c r="O100" s="247" t="str">
        <f>IF('Sortering af spørgsmål'!$C$15=Projektforudsætninger!$C$26,"","-")</f>
        <v>-</v>
      </c>
      <c r="P100" s="247" t="str">
        <f>IF('Sortering af spørgsmål'!$C$15=Projektforudsætninger!$C$19,"","-")</f>
        <v>-</v>
      </c>
      <c r="Q100" s="257"/>
    </row>
    <row r="101" spans="1:17" ht="15" customHeight="1" x14ac:dyDescent="0.45">
      <c r="A101" s="788"/>
      <c r="B101" s="787"/>
      <c r="C101" s="779"/>
      <c r="D101" s="284">
        <f>Arbejdsark!O200</f>
        <v>0</v>
      </c>
      <c r="E101" s="284">
        <f>D99-D101</f>
        <v>1</v>
      </c>
      <c r="F101" s="284" t="str">
        <f>IF(Projektforudsætninger!B14="Ja",Arbejdsark!U200,"-")</f>
        <v>-</v>
      </c>
      <c r="G101" s="284" t="str">
        <f>IF(Projektforudsætninger!$B$14="Ja",F99-F101,"-")</f>
        <v>-</v>
      </c>
      <c r="H101" s="241" t="s">
        <v>495</v>
      </c>
      <c r="I101" s="248" t="str">
        <f>IF('Sortering af spørgsmål'!$C$15=Projektforudsætninger!$C$20,"","-")</f>
        <v>-</v>
      </c>
      <c r="J101" s="248" t="str">
        <f>IF('Sortering af spørgsmål'!$C$15=Projektforudsætninger!$C$21,"","-")</f>
        <v>-</v>
      </c>
      <c r="K101" s="248" t="str">
        <f>IF('Sortering af spørgsmål'!$C$15=Projektforudsætninger!$C$22,"","-")</f>
        <v>-</v>
      </c>
      <c r="L101" s="248" t="str">
        <f>IF('Sortering af spørgsmål'!$C$15=Projektforudsætninger!$C$23,"","-")</f>
        <v>-</v>
      </c>
      <c r="M101" s="248" t="str">
        <f>IF('Sortering af spørgsmål'!$C$15=Projektforudsætninger!$C$24,"","-")</f>
        <v>-</v>
      </c>
      <c r="N101" s="248" t="str">
        <f>IF('Sortering af spørgsmål'!$C$15=Projektforudsætninger!$C$25,"","-")</f>
        <v>-</v>
      </c>
      <c r="O101" s="248" t="str">
        <f>IF('Sortering af spørgsmål'!$C$15=Projektforudsætninger!$C$26,"","-")</f>
        <v>-</v>
      </c>
      <c r="P101" s="248" t="str">
        <f>IF('Sortering af spørgsmål'!$C$15=Projektforudsætninger!$C$19,"","-")</f>
        <v>-</v>
      </c>
      <c r="Q101" s="257"/>
    </row>
    <row r="102" spans="1:17" s="222" customFormat="1" ht="15" customHeight="1" x14ac:dyDescent="0.45">
      <c r="A102" s="788"/>
      <c r="B102" s="787"/>
      <c r="C102" s="779" t="str">
        <f>Arbejdsark!C202</f>
        <v>Sollys</v>
      </c>
      <c r="D102" s="282">
        <f>Arbejdsark!O203</f>
        <v>1</v>
      </c>
      <c r="E102" s="282">
        <f>D102-D102</f>
        <v>0</v>
      </c>
      <c r="F102" s="282" t="str">
        <f>IF(Projektforudsætninger!B14="Ja",Arbejdsark!U203,"-")</f>
        <v>-</v>
      </c>
      <c r="G102" s="282" t="str">
        <f>IF(Projektforudsætninger!$B$14="Ja",F102-F102,"-")</f>
        <v>-</v>
      </c>
      <c r="H102" s="237" t="s">
        <v>498</v>
      </c>
      <c r="I102" s="246" t="str">
        <f>IF('Sortering af spørgsmål'!$C$15=Projektforudsætninger!$C$20,"","-")</f>
        <v>-</v>
      </c>
      <c r="J102" s="246" t="str">
        <f>IF('Sortering af spørgsmål'!$C$15=Projektforudsætninger!$C$21,"","-")</f>
        <v>-</v>
      </c>
      <c r="K102" s="246" t="str">
        <f>IF('Sortering af spørgsmål'!$C$15=Projektforudsætninger!$C$22,"","-")</f>
        <v>-</v>
      </c>
      <c r="L102" s="246" t="str">
        <f>IF('Sortering af spørgsmål'!$C$15=Projektforudsætninger!$C$23,"","-")</f>
        <v>-</v>
      </c>
      <c r="M102" s="246" t="str">
        <f>IF('Sortering af spørgsmål'!$C$15=Projektforudsætninger!$C$24,"","-")</f>
        <v>-</v>
      </c>
      <c r="N102" s="246" t="str">
        <f>IF('Sortering af spørgsmål'!$C$15=Projektforudsætninger!$C$25,"","-")</f>
        <v>-</v>
      </c>
      <c r="O102" s="246" t="str">
        <f>IF('Sortering af spørgsmål'!$C$15=Projektforudsætninger!$C$26,"","-")</f>
        <v>-</v>
      </c>
      <c r="P102" s="246" t="str">
        <f>IF('Sortering af spørgsmål'!$C$15=Projektforudsætninger!$C$19,"","-")</f>
        <v>-</v>
      </c>
      <c r="Q102" s="256"/>
    </row>
    <row r="103" spans="1:17" ht="15" customHeight="1" x14ac:dyDescent="0.45">
      <c r="A103" s="788"/>
      <c r="B103" s="787"/>
      <c r="C103" s="779"/>
      <c r="D103" s="283">
        <f>Arbejdsark!O204</f>
        <v>1</v>
      </c>
      <c r="E103" s="283">
        <v>0</v>
      </c>
      <c r="F103" s="283" t="str">
        <f>IF(Projektforudsætninger!B14="Ja",Arbejdsark!U204,"-")</f>
        <v>-</v>
      </c>
      <c r="G103" s="283" t="str">
        <f>IF(Projektforudsætninger!$B$14="Ja",F102-F103,"-")</f>
        <v>-</v>
      </c>
      <c r="H103" s="239" t="s">
        <v>499</v>
      </c>
      <c r="I103" s="247" t="str">
        <f>IF('Sortering af spørgsmål'!$C$15=Projektforudsætninger!$C$20,"","-")</f>
        <v>-</v>
      </c>
      <c r="J103" s="247" t="str">
        <f>IF('Sortering af spørgsmål'!$C$15=Projektforudsætninger!$C$21,"","-")</f>
        <v>-</v>
      </c>
      <c r="K103" s="247" t="str">
        <f>IF('Sortering af spørgsmål'!$C$15=Projektforudsætninger!$C$22,"","-")</f>
        <v>-</v>
      </c>
      <c r="L103" s="247" t="str">
        <f>IF('Sortering af spørgsmål'!$C$15=Projektforudsætninger!$C$23,"","-")</f>
        <v>-</v>
      </c>
      <c r="M103" s="247" t="str">
        <f>IF('Sortering af spørgsmål'!$C$15=Projektforudsætninger!$C$24,"","-")</f>
        <v>-</v>
      </c>
      <c r="N103" s="247" t="str">
        <f>IF('Sortering af spørgsmål'!$C$15=Projektforudsætninger!$C$25,"","-")</f>
        <v>-</v>
      </c>
      <c r="O103" s="247" t="str">
        <f>IF('Sortering af spørgsmål'!$C$15=Projektforudsætninger!$C$26,"","-")</f>
        <v>-</v>
      </c>
      <c r="P103" s="247" t="str">
        <f>IF('Sortering af spørgsmål'!$C$15=Projektforudsætninger!$C$19,"","-")</f>
        <v>-</v>
      </c>
      <c r="Q103" s="257"/>
    </row>
    <row r="104" spans="1:17" ht="15" customHeight="1" x14ac:dyDescent="0.45">
      <c r="A104" s="788"/>
      <c r="B104" s="787"/>
      <c r="C104" s="779"/>
      <c r="D104" s="284">
        <f>Arbejdsark!O205</f>
        <v>0</v>
      </c>
      <c r="E104" s="284">
        <f>D102-D104</f>
        <v>1</v>
      </c>
      <c r="F104" s="284" t="str">
        <f>IF(Projektforudsætninger!B14="Ja",Arbejdsark!U205,"-")</f>
        <v>-</v>
      </c>
      <c r="G104" s="284" t="str">
        <f>IF(Projektforudsætninger!$B$14="Ja",F102-F104,"-")</f>
        <v>-</v>
      </c>
      <c r="H104" s="241" t="s">
        <v>495</v>
      </c>
      <c r="I104" s="248" t="str">
        <f>IF('Sortering af spørgsmål'!$C$15=Projektforudsætninger!$C$20,"","-")</f>
        <v>-</v>
      </c>
      <c r="J104" s="248" t="str">
        <f>IF('Sortering af spørgsmål'!$C$15=Projektforudsætninger!$C$21,"","-")</f>
        <v>-</v>
      </c>
      <c r="K104" s="248" t="str">
        <f>IF('Sortering af spørgsmål'!$C$15=Projektforudsætninger!$C$22,"","-")</f>
        <v>-</v>
      </c>
      <c r="L104" s="248" t="str">
        <f>IF('Sortering af spørgsmål'!$C$15=Projektforudsætninger!$C$23,"","-")</f>
        <v>-</v>
      </c>
      <c r="M104" s="248" t="str">
        <f>IF('Sortering af spørgsmål'!$C$15=Projektforudsætninger!$C$24,"","-")</f>
        <v>-</v>
      </c>
      <c r="N104" s="248" t="str">
        <f>IF('Sortering af spørgsmål'!$C$15=Projektforudsætninger!$C$25,"","-")</f>
        <v>-</v>
      </c>
      <c r="O104" s="248" t="str">
        <f>IF('Sortering af spørgsmål'!$C$15=Projektforudsætninger!$C$26,"","-")</f>
        <v>-</v>
      </c>
      <c r="P104" s="248" t="str">
        <f>IF('Sortering af spørgsmål'!$C$15=Projektforudsætninger!$C$19,"","-")</f>
        <v>-</v>
      </c>
      <c r="Q104" s="257"/>
    </row>
    <row r="105" spans="1:17" s="222" customFormat="1" ht="15" customHeight="1" x14ac:dyDescent="0.45">
      <c r="A105" s="788"/>
      <c r="B105" s="787"/>
      <c r="C105" s="779" t="str">
        <f>Arbejdsark!C207</f>
        <v>Farvegengivelse</v>
      </c>
      <c r="D105" s="282">
        <f>Arbejdsark!O208</f>
        <v>1</v>
      </c>
      <c r="E105" s="282">
        <f>D105-D105</f>
        <v>0</v>
      </c>
      <c r="F105" s="282" t="str">
        <f>IF(Projektforudsætninger!B14="Ja",Arbejdsark!U208,"-")</f>
        <v>-</v>
      </c>
      <c r="G105" s="282" t="str">
        <f>IF(Projektforudsætninger!$B$14="Ja",F105-F105,"-")</f>
        <v>-</v>
      </c>
      <c r="H105" s="237" t="s">
        <v>498</v>
      </c>
      <c r="I105" s="246" t="str">
        <f>IF('Sortering af spørgsmål'!$C$15=Projektforudsætninger!$C$20,"","-")</f>
        <v>-</v>
      </c>
      <c r="J105" s="246" t="str">
        <f>IF('Sortering af spørgsmål'!$C$15=Projektforudsætninger!$C$21,"","-")</f>
        <v>-</v>
      </c>
      <c r="K105" s="246" t="str">
        <f>IF('Sortering af spørgsmål'!$C$15=Projektforudsætninger!$C$22,"","-")</f>
        <v>-</v>
      </c>
      <c r="L105" s="246" t="str">
        <f>IF('Sortering af spørgsmål'!$C$15=Projektforudsætninger!$C$23,"","-")</f>
        <v>-</v>
      </c>
      <c r="M105" s="246" t="str">
        <f>IF('Sortering af spørgsmål'!$C$15=Projektforudsætninger!$C$24,"","-")</f>
        <v>-</v>
      </c>
      <c r="N105" s="246" t="str">
        <f>IF('Sortering af spørgsmål'!$C$15=Projektforudsætninger!$C$25,"","-")</f>
        <v>-</v>
      </c>
      <c r="O105" s="246" t="str">
        <f>IF('Sortering af spørgsmål'!$C$15=Projektforudsætninger!$C$26,"","-")</f>
        <v>-</v>
      </c>
      <c r="P105" s="246" t="str">
        <f>IF('Sortering af spørgsmål'!$C$15=Projektforudsætninger!$C$19,"","-")</f>
        <v>-</v>
      </c>
      <c r="Q105" s="256"/>
    </row>
    <row r="106" spans="1:17" ht="15" customHeight="1" x14ac:dyDescent="0.45">
      <c r="A106" s="788"/>
      <c r="B106" s="787"/>
      <c r="C106" s="779"/>
      <c r="D106" s="283">
        <f>Arbejdsark!O209</f>
        <v>1</v>
      </c>
      <c r="E106" s="283">
        <v>0</v>
      </c>
      <c r="F106" s="283" t="str">
        <f>IF(Projektforudsætninger!B14="Ja",Arbejdsark!U209,"-")</f>
        <v>-</v>
      </c>
      <c r="G106" s="283" t="str">
        <f>IF(Projektforudsætninger!$B$14="Ja",F105-F106,"-")</f>
        <v>-</v>
      </c>
      <c r="H106" s="239" t="s">
        <v>499</v>
      </c>
      <c r="I106" s="247" t="str">
        <f>IF('Sortering af spørgsmål'!$C$15=Projektforudsætninger!$C$20,"","-")</f>
        <v>-</v>
      </c>
      <c r="J106" s="247" t="str">
        <f>IF('Sortering af spørgsmål'!$C$15=Projektforudsætninger!$C$21,"","-")</f>
        <v>-</v>
      </c>
      <c r="K106" s="247" t="str">
        <f>IF('Sortering af spørgsmål'!$C$15=Projektforudsætninger!$C$22,"","-")</f>
        <v>-</v>
      </c>
      <c r="L106" s="247" t="str">
        <f>IF('Sortering af spørgsmål'!$C$15=Projektforudsætninger!$C$23,"","-")</f>
        <v>-</v>
      </c>
      <c r="M106" s="247" t="str">
        <f>IF('Sortering af spørgsmål'!$C$15=Projektforudsætninger!$C$24,"","-")</f>
        <v>-</v>
      </c>
      <c r="N106" s="247" t="str">
        <f>IF('Sortering af spørgsmål'!$C$15=Projektforudsætninger!$C$25,"","-")</f>
        <v>-</v>
      </c>
      <c r="O106" s="247" t="str">
        <f>IF('Sortering af spørgsmål'!$C$15=Projektforudsætninger!$C$26,"","-")</f>
        <v>-</v>
      </c>
      <c r="P106" s="247" t="str">
        <f>IF('Sortering af spørgsmål'!$C$15=Projektforudsætninger!$C$19,"","-")</f>
        <v>-</v>
      </c>
      <c r="Q106" s="257"/>
    </row>
    <row r="107" spans="1:17" ht="15" customHeight="1" x14ac:dyDescent="0.45">
      <c r="A107" s="788"/>
      <c r="B107" s="787"/>
      <c r="C107" s="779"/>
      <c r="D107" s="284">
        <f>Arbejdsark!O210</f>
        <v>0</v>
      </c>
      <c r="E107" s="284">
        <f>D105-D107</f>
        <v>1</v>
      </c>
      <c r="F107" s="284" t="str">
        <f>IF(Projektforudsætninger!B14="Ja",Arbejdsark!U210,"-")</f>
        <v>-</v>
      </c>
      <c r="G107" s="284" t="str">
        <f>IF(Projektforudsætninger!$B$14="Ja",F105-F107,"-")</f>
        <v>-</v>
      </c>
      <c r="H107" s="241" t="s">
        <v>495</v>
      </c>
      <c r="I107" s="248" t="str">
        <f>IF('Sortering af spørgsmål'!$C$15=Projektforudsætninger!$C$20,"","-")</f>
        <v>-</v>
      </c>
      <c r="J107" s="248" t="str">
        <f>IF('Sortering af spørgsmål'!$C$15=Projektforudsætninger!$C$21,"","-")</f>
        <v>-</v>
      </c>
      <c r="K107" s="248" t="str">
        <f>IF('Sortering af spørgsmål'!$C$15=Projektforudsætninger!$C$22,"","-")</f>
        <v>-</v>
      </c>
      <c r="L107" s="248" t="str">
        <f>IF('Sortering af spørgsmål'!$C$15=Projektforudsætninger!$C$23,"","-")</f>
        <v>-</v>
      </c>
      <c r="M107" s="248" t="str">
        <f>IF('Sortering af spørgsmål'!$C$15=Projektforudsætninger!$C$24,"","-")</f>
        <v>-</v>
      </c>
      <c r="N107" s="248" t="str">
        <f>IF('Sortering af spørgsmål'!$C$15=Projektforudsætninger!$C$25,"","-")</f>
        <v>-</v>
      </c>
      <c r="O107" s="248" t="str">
        <f>IF('Sortering af spørgsmål'!$C$15=Projektforudsætninger!$C$26,"","-")</f>
        <v>-</v>
      </c>
      <c r="P107" s="248" t="str">
        <f>IF('Sortering af spørgsmål'!$C$15=Projektforudsætninger!$C$19,"","-")</f>
        <v>-</v>
      </c>
      <c r="Q107" s="257"/>
    </row>
    <row r="108" spans="1:17" s="222" customFormat="1" ht="15" customHeight="1" x14ac:dyDescent="0.45">
      <c r="A108" s="788"/>
      <c r="B108" s="787"/>
      <c r="C108" s="779" t="str">
        <f>Arbejdsark!C212</f>
        <v>Udsyn</v>
      </c>
      <c r="D108" s="282" t="e">
        <f>Arbejdsark!#REF!</f>
        <v>#REF!</v>
      </c>
      <c r="E108" s="282" t="e">
        <f>D108-D108</f>
        <v>#REF!</v>
      </c>
      <c r="F108" s="282" t="str">
        <f>IF(Projektforudsætninger!B14="Ja",Arbejdsark!#REF!,"-")</f>
        <v>-</v>
      </c>
      <c r="G108" s="282" t="str">
        <f>IF(Projektforudsætninger!$B$14="Ja",F108-F108,"-")</f>
        <v>-</v>
      </c>
      <c r="H108" s="237" t="s">
        <v>498</v>
      </c>
      <c r="I108" s="246" t="str">
        <f>IF('Sortering af spørgsmål'!$C$15=Projektforudsætninger!$C$20,"","-")</f>
        <v>-</v>
      </c>
      <c r="J108" s="246" t="str">
        <f>IF('Sortering af spørgsmål'!$C$15=Projektforudsætninger!$C$21,"","-")</f>
        <v>-</v>
      </c>
      <c r="K108" s="246" t="str">
        <f>IF('Sortering af spørgsmål'!$C$15=Projektforudsætninger!$C$22,"","-")</f>
        <v>-</v>
      </c>
      <c r="L108" s="246" t="str">
        <f>IF('Sortering af spørgsmål'!$C$15=Projektforudsætninger!$C$23,"","-")</f>
        <v>-</v>
      </c>
      <c r="M108" s="246" t="str">
        <f>IF('Sortering af spørgsmål'!$C$15=Projektforudsætninger!$C$24,"","-")</f>
        <v>-</v>
      </c>
      <c r="N108" s="246" t="str">
        <f>IF('Sortering af spørgsmål'!$C$15=Projektforudsætninger!$C$25,"","-")</f>
        <v>-</v>
      </c>
      <c r="O108" s="246" t="str">
        <f>IF('Sortering af spørgsmål'!$C$15=Projektforudsætninger!$C$26,"","-")</f>
        <v>-</v>
      </c>
      <c r="P108" s="246" t="str">
        <f>IF('Sortering af spørgsmål'!$C$15=Projektforudsætninger!$C$19,"","-")</f>
        <v>-</v>
      </c>
      <c r="Q108" s="256"/>
    </row>
    <row r="109" spans="1:17" ht="15" customHeight="1" x14ac:dyDescent="0.45">
      <c r="A109" s="788"/>
      <c r="B109" s="787"/>
      <c r="C109" s="779"/>
      <c r="D109" s="283">
        <f>Arbejdsark!O213</f>
        <v>1</v>
      </c>
      <c r="E109" s="283" t="e">
        <f>D108-D109</f>
        <v>#REF!</v>
      </c>
      <c r="F109" s="283" t="str">
        <f>IF(Projektforudsætninger!B14="Ja",Arbejdsark!U213,"-")</f>
        <v>-</v>
      </c>
      <c r="G109" s="283" t="str">
        <f>IF(Projektforudsætninger!$B$14="Ja",F108-F109,"-")</f>
        <v>-</v>
      </c>
      <c r="H109" s="239" t="s">
        <v>499</v>
      </c>
      <c r="I109" s="247" t="str">
        <f>IF('Sortering af spørgsmål'!$C$15=Projektforudsætninger!$C$20,"","-")</f>
        <v>-</v>
      </c>
      <c r="J109" s="247" t="str">
        <f>IF('Sortering af spørgsmål'!$C$15=Projektforudsætninger!$C$21,"","-")</f>
        <v>-</v>
      </c>
      <c r="K109" s="247" t="str">
        <f>IF('Sortering af spørgsmål'!$C$15=Projektforudsætninger!$C$22,"","-")</f>
        <v>-</v>
      </c>
      <c r="L109" s="247" t="str">
        <f>IF('Sortering af spørgsmål'!$C$15=Projektforudsætninger!$C$23,"","-")</f>
        <v>-</v>
      </c>
      <c r="M109" s="247" t="str">
        <f>IF('Sortering af spørgsmål'!$C$15=Projektforudsætninger!$C$24,"","-")</f>
        <v>-</v>
      </c>
      <c r="N109" s="247" t="str">
        <f>IF('Sortering af spørgsmål'!$C$15=Projektforudsætninger!$C$25,"","-")</f>
        <v>-</v>
      </c>
      <c r="O109" s="247" t="str">
        <f>IF('Sortering af spørgsmål'!$C$15=Projektforudsætninger!$C$26,"","-")</f>
        <v>-</v>
      </c>
      <c r="P109" s="247" t="str">
        <f>IF('Sortering af spørgsmål'!$C$15=Projektforudsætninger!$C$19,"","-")</f>
        <v>-</v>
      </c>
      <c r="Q109" s="257"/>
    </row>
    <row r="110" spans="1:17" ht="15" customHeight="1" x14ac:dyDescent="0.45">
      <c r="A110" s="788"/>
      <c r="B110" s="787"/>
      <c r="C110" s="779"/>
      <c r="D110" s="284">
        <f>Arbejdsark!O214</f>
        <v>1</v>
      </c>
      <c r="E110" s="284" t="e">
        <f>D108-D110</f>
        <v>#REF!</v>
      </c>
      <c r="F110" s="284" t="str">
        <f>IF(Projektforudsætninger!B14="Ja",Arbejdsark!U214,"-")</f>
        <v>-</v>
      </c>
      <c r="G110" s="284" t="str">
        <f>IF(Projektforudsætninger!$B$14="Ja",F108-F110,"-")</f>
        <v>-</v>
      </c>
      <c r="H110" s="241" t="s">
        <v>495</v>
      </c>
      <c r="I110" s="248" t="str">
        <f>IF('Sortering af spørgsmål'!$C$15=Projektforudsætninger!$C$20,"","-")</f>
        <v>-</v>
      </c>
      <c r="J110" s="248" t="str">
        <f>IF('Sortering af spørgsmål'!$C$15=Projektforudsætninger!$C$21,"","-")</f>
        <v>-</v>
      </c>
      <c r="K110" s="248" t="str">
        <f>IF('Sortering af spørgsmål'!$C$15=Projektforudsætninger!$C$22,"","-")</f>
        <v>-</v>
      </c>
      <c r="L110" s="248" t="str">
        <f>IF('Sortering af spørgsmål'!$C$15=Projektforudsætninger!$C$23,"","-")</f>
        <v>-</v>
      </c>
      <c r="M110" s="248" t="str">
        <f>IF('Sortering af spørgsmål'!$C$15=Projektforudsætninger!$C$24,"","-")</f>
        <v>-</v>
      </c>
      <c r="N110" s="248" t="str">
        <f>IF('Sortering af spørgsmål'!$C$15=Projektforudsætninger!$C$25,"","-")</f>
        <v>-</v>
      </c>
      <c r="O110" s="248" t="str">
        <f>IF('Sortering af spørgsmål'!$C$15=Projektforudsætninger!$C$26,"","-")</f>
        <v>-</v>
      </c>
      <c r="P110" s="248" t="str">
        <f>IF('Sortering af spørgsmål'!$C$15=Projektforudsætninger!$C$19,"","-")</f>
        <v>-</v>
      </c>
      <c r="Q110" s="257"/>
    </row>
    <row r="111" spans="1:17" s="222" customFormat="1" ht="15" customHeight="1" x14ac:dyDescent="0.45">
      <c r="A111" s="788"/>
      <c r="B111" s="787" t="str">
        <f>Arbejdsark!A217</f>
        <v>Brugerstyring</v>
      </c>
      <c r="C111" s="779" t="str">
        <f>Arbejdsark!C217</f>
        <v>Temperatur</v>
      </c>
      <c r="D111" s="282">
        <f>Arbejdsark!O218</f>
        <v>1</v>
      </c>
      <c r="E111" s="282">
        <f>D111-D111</f>
        <v>0</v>
      </c>
      <c r="F111" s="282" t="str">
        <f>IF(Projektforudsætninger!B14="Ja",Arbejdsark!U218,"-")</f>
        <v>-</v>
      </c>
      <c r="G111" s="282" t="str">
        <f>IF(Projektforudsætninger!$B$14="Ja",F111-F111,"-")</f>
        <v>-</v>
      </c>
      <c r="H111" s="237" t="s">
        <v>498</v>
      </c>
      <c r="I111" s="249" t="str">
        <f>IF('Sortering af spørgsmål'!$C$16=Projektforudsætninger!$C$20,"","-")</f>
        <v>-</v>
      </c>
      <c r="J111" s="249" t="str">
        <f>IF('Sortering af spørgsmål'!$C$16=Projektforudsætninger!$C$21,"","-")</f>
        <v>-</v>
      </c>
      <c r="K111" s="249" t="str">
        <f>IF('Sortering af spørgsmål'!$C$16=Projektforudsætninger!$C$22,"","-")</f>
        <v>-</v>
      </c>
      <c r="L111" s="249" t="str">
        <f>IF('Sortering af spørgsmål'!$C$16=Projektforudsætninger!$C$23,"","-")</f>
        <v>-</v>
      </c>
      <c r="M111" s="249" t="str">
        <f>IF('Sortering af spørgsmål'!$C$16=Projektforudsætninger!$C$24,"","-")</f>
        <v>-</v>
      </c>
      <c r="N111" s="249" t="str">
        <f>IF('Sortering af spørgsmål'!$C$16=Projektforudsætninger!$C$25,"","-")</f>
        <v>-</v>
      </c>
      <c r="O111" s="249" t="str">
        <f>IF('Sortering af spørgsmål'!$C$16=Projektforudsætninger!$C$26,"","-")</f>
        <v>-</v>
      </c>
      <c r="P111" s="249" t="str">
        <f>IF('Sortering af spørgsmål'!$C$16=Projektforudsætninger!$C$19,"","-")</f>
        <v>-</v>
      </c>
      <c r="Q111" s="258"/>
    </row>
    <row r="112" spans="1:17" ht="15" customHeight="1" x14ac:dyDescent="0.45">
      <c r="A112" s="788"/>
      <c r="B112" s="787"/>
      <c r="C112" s="779"/>
      <c r="D112" s="283">
        <f>Arbejdsark!O219</f>
        <v>1</v>
      </c>
      <c r="E112" s="283">
        <v>0</v>
      </c>
      <c r="F112" s="283" t="str">
        <f>IF(Projektforudsætninger!B14="Ja",Arbejdsark!U219,"-")</f>
        <v>-</v>
      </c>
      <c r="G112" s="283" t="str">
        <f>IF(Projektforudsætninger!$B$14="Ja",F111-F112,"-")</f>
        <v>-</v>
      </c>
      <c r="H112" s="239" t="s">
        <v>499</v>
      </c>
      <c r="I112" s="250" t="str">
        <f>IF('Sortering af spørgsmål'!$C$16=Projektforudsætninger!$C$20,"","-")</f>
        <v>-</v>
      </c>
      <c r="J112" s="250" t="str">
        <f>IF('Sortering af spørgsmål'!$C$16=Projektforudsætninger!$C$21,"","-")</f>
        <v>-</v>
      </c>
      <c r="K112" s="250" t="str">
        <f>IF('Sortering af spørgsmål'!$C$16=Projektforudsætninger!$C$22,"","-")</f>
        <v>-</v>
      </c>
      <c r="L112" s="250" t="str">
        <f>IF('Sortering af spørgsmål'!$C$16=Projektforudsætninger!$C$23,"","-")</f>
        <v>-</v>
      </c>
      <c r="M112" s="250" t="str">
        <f>IF('Sortering af spørgsmål'!$C$16=Projektforudsætninger!$C$24,"","-")</f>
        <v>-</v>
      </c>
      <c r="N112" s="250" t="str">
        <f>IF('Sortering af spørgsmål'!$C$16=Projektforudsætninger!$C$25,"","-")</f>
        <v>-</v>
      </c>
      <c r="O112" s="250" t="str">
        <f>IF('Sortering af spørgsmål'!$C$16=Projektforudsætninger!$C$26,"","-")</f>
        <v>-</v>
      </c>
      <c r="P112" s="250" t="str">
        <f>IF('Sortering af spørgsmål'!$C$16=Projektforudsætninger!$C$19,"","-")</f>
        <v>-</v>
      </c>
      <c r="Q112" s="259"/>
    </row>
    <row r="113" spans="1:17" ht="15" customHeight="1" x14ac:dyDescent="0.45">
      <c r="A113" s="788"/>
      <c r="B113" s="787"/>
      <c r="C113" s="779"/>
      <c r="D113" s="284">
        <f>Arbejdsark!O220</f>
        <v>0</v>
      </c>
      <c r="E113" s="284">
        <f>D111-D113</f>
        <v>1</v>
      </c>
      <c r="F113" s="284" t="str">
        <f>IF(Projektforudsætninger!B14="Ja",Arbejdsark!U220,"-")</f>
        <v>-</v>
      </c>
      <c r="G113" s="284" t="str">
        <f>IF(Projektforudsætninger!$B$14="Ja",F111-F113,"-")</f>
        <v>-</v>
      </c>
      <c r="H113" s="241" t="s">
        <v>495</v>
      </c>
      <c r="I113" s="251" t="str">
        <f>IF('Sortering af spørgsmål'!$C$16=Projektforudsætninger!$C$20,"","-")</f>
        <v>-</v>
      </c>
      <c r="J113" s="251" t="str">
        <f>IF('Sortering af spørgsmål'!$C$16=Projektforudsætninger!$C$21,"","-")</f>
        <v>-</v>
      </c>
      <c r="K113" s="251" t="str">
        <f>IF('Sortering af spørgsmål'!$C$16=Projektforudsætninger!$C$22,"","-")</f>
        <v>-</v>
      </c>
      <c r="L113" s="251" t="str">
        <f>IF('Sortering af spørgsmål'!$C$16=Projektforudsætninger!$C$23,"","-")</f>
        <v>-</v>
      </c>
      <c r="M113" s="251" t="str">
        <f>IF('Sortering af spørgsmål'!$C$16=Projektforudsætninger!$C$24,"","-")</f>
        <v>-</v>
      </c>
      <c r="N113" s="251" t="str">
        <f>IF('Sortering af spørgsmål'!$C$16=Projektforudsætninger!$C$25,"","-")</f>
        <v>-</v>
      </c>
      <c r="O113" s="251" t="str">
        <f>IF('Sortering af spørgsmål'!$C$16=Projektforudsætninger!$C$26,"","-")</f>
        <v>-</v>
      </c>
      <c r="P113" s="251" t="str">
        <f>IF('Sortering af spørgsmål'!$C$16=Projektforudsætninger!$C$19,"","-")</f>
        <v>-</v>
      </c>
      <c r="Q113" s="259"/>
    </row>
    <row r="114" spans="1:17" s="222" customFormat="1" ht="15" customHeight="1" x14ac:dyDescent="0.45">
      <c r="A114" s="788"/>
      <c r="B114" s="787"/>
      <c r="C114" s="779" t="str">
        <f>Arbejdsark!C222</f>
        <v>Luftkvalitet</v>
      </c>
      <c r="D114" s="282">
        <f>Arbejdsark!O223</f>
        <v>1</v>
      </c>
      <c r="E114" s="282">
        <f>D114-D114</f>
        <v>0</v>
      </c>
      <c r="F114" s="282" t="str">
        <f>IF(Projektforudsætninger!B14="Ja",Arbejdsark!U223,"-")</f>
        <v>-</v>
      </c>
      <c r="G114" s="282" t="str">
        <f>IF(Projektforudsætninger!$B$14="Ja",F114-F114,"-")</f>
        <v>-</v>
      </c>
      <c r="H114" s="237" t="s">
        <v>498</v>
      </c>
      <c r="I114" s="249" t="str">
        <f>IF('Sortering af spørgsmål'!$C$16=Projektforudsætninger!$C$20,"","-")</f>
        <v>-</v>
      </c>
      <c r="J114" s="249" t="str">
        <f>IF('Sortering af spørgsmål'!$C$16=Projektforudsætninger!$C$21,"","-")</f>
        <v>-</v>
      </c>
      <c r="K114" s="249" t="str">
        <f>IF('Sortering af spørgsmål'!$C$16=Projektforudsætninger!$C$22,"","-")</f>
        <v>-</v>
      </c>
      <c r="L114" s="249" t="str">
        <f>IF('Sortering af spørgsmål'!$C$16=Projektforudsætninger!$C$23,"","-")</f>
        <v>-</v>
      </c>
      <c r="M114" s="249" t="str">
        <f>IF('Sortering af spørgsmål'!$C$16=Projektforudsætninger!$C$24,"","-")</f>
        <v>-</v>
      </c>
      <c r="N114" s="249" t="str">
        <f>IF('Sortering af spørgsmål'!$C$16=Projektforudsætninger!$C$25,"","-")</f>
        <v>-</v>
      </c>
      <c r="O114" s="249" t="str">
        <f>IF('Sortering af spørgsmål'!$C$16=Projektforudsætninger!$C$26,"","-")</f>
        <v>-</v>
      </c>
      <c r="P114" s="249" t="str">
        <f>IF('Sortering af spørgsmål'!$C$16=Projektforudsætninger!$C$19,"","-")</f>
        <v>-</v>
      </c>
      <c r="Q114" s="258"/>
    </row>
    <row r="115" spans="1:17" ht="15" customHeight="1" x14ac:dyDescent="0.45">
      <c r="A115" s="788"/>
      <c r="B115" s="787"/>
      <c r="C115" s="779"/>
      <c r="D115" s="283">
        <f>Arbejdsark!O224</f>
        <v>1</v>
      </c>
      <c r="E115" s="283">
        <v>0</v>
      </c>
      <c r="F115" s="283" t="str">
        <f>IF(Projektforudsætninger!B14="Ja",Arbejdsark!U224,"-")</f>
        <v>-</v>
      </c>
      <c r="G115" s="283" t="str">
        <f>IF(Projektforudsætninger!$B$14="Ja",F114-F115,"-")</f>
        <v>-</v>
      </c>
      <c r="H115" s="239" t="s">
        <v>499</v>
      </c>
      <c r="I115" s="250" t="str">
        <f>IF('Sortering af spørgsmål'!$C$16=Projektforudsætninger!$C$20,"","-")</f>
        <v>-</v>
      </c>
      <c r="J115" s="250" t="str">
        <f>IF('Sortering af spørgsmål'!$C$16=Projektforudsætninger!$C$21,"","-")</f>
        <v>-</v>
      </c>
      <c r="K115" s="250" t="str">
        <f>IF('Sortering af spørgsmål'!$C$16=Projektforudsætninger!$C$22,"","-")</f>
        <v>-</v>
      </c>
      <c r="L115" s="250" t="str">
        <f>IF('Sortering af spørgsmål'!$C$16=Projektforudsætninger!$C$23,"","-")</f>
        <v>-</v>
      </c>
      <c r="M115" s="250" t="str">
        <f>IF('Sortering af spørgsmål'!$C$16=Projektforudsætninger!$C$24,"","-")</f>
        <v>-</v>
      </c>
      <c r="N115" s="250" t="str">
        <f>IF('Sortering af spørgsmål'!$C$16=Projektforudsætninger!$C$25,"","-")</f>
        <v>-</v>
      </c>
      <c r="O115" s="250" t="str">
        <f>IF('Sortering af spørgsmål'!$C$16=Projektforudsætninger!$C$26,"","-")</f>
        <v>-</v>
      </c>
      <c r="P115" s="250" t="str">
        <f>IF('Sortering af spørgsmål'!$C$16=Projektforudsætninger!$C$19,"","-")</f>
        <v>-</v>
      </c>
      <c r="Q115" s="259"/>
    </row>
    <row r="116" spans="1:17" ht="15" customHeight="1" x14ac:dyDescent="0.45">
      <c r="A116" s="788"/>
      <c r="B116" s="787"/>
      <c r="C116" s="779"/>
      <c r="D116" s="284">
        <f>Arbejdsark!O225</f>
        <v>0</v>
      </c>
      <c r="E116" s="284">
        <f>D114-D116</f>
        <v>1</v>
      </c>
      <c r="F116" s="284" t="str">
        <f>IF(Projektforudsætninger!B14="Ja",Arbejdsark!U225,"-")</f>
        <v>-</v>
      </c>
      <c r="G116" s="284" t="str">
        <f>IF(Projektforudsætninger!$B$14="Ja",F114-F116,"-")</f>
        <v>-</v>
      </c>
      <c r="H116" s="241" t="s">
        <v>495</v>
      </c>
      <c r="I116" s="251" t="str">
        <f>IF('Sortering af spørgsmål'!$C$16=Projektforudsætninger!$C$20,"","-")</f>
        <v>-</v>
      </c>
      <c r="J116" s="251" t="str">
        <f>IF('Sortering af spørgsmål'!$C$16=Projektforudsætninger!$C$21,"","-")</f>
        <v>-</v>
      </c>
      <c r="K116" s="251" t="str">
        <f>IF('Sortering af spørgsmål'!$C$16=Projektforudsætninger!$C$22,"","-")</f>
        <v>-</v>
      </c>
      <c r="L116" s="251" t="str">
        <f>IF('Sortering af spørgsmål'!$C$16=Projektforudsætninger!$C$23,"","-")</f>
        <v>-</v>
      </c>
      <c r="M116" s="251" t="str">
        <f>IF('Sortering af spørgsmål'!$C$16=Projektforudsætninger!$C$24,"","-")</f>
        <v>-</v>
      </c>
      <c r="N116" s="251" t="str">
        <f>IF('Sortering af spørgsmål'!$C$16=Projektforudsætninger!$C$25,"","-")</f>
        <v>-</v>
      </c>
      <c r="O116" s="251" t="str">
        <f>IF('Sortering af spørgsmål'!$C$16=Projektforudsætninger!$C$26,"","-")</f>
        <v>-</v>
      </c>
      <c r="P116" s="251" t="str">
        <f>IF('Sortering af spørgsmål'!$C$16=Projektforudsætninger!$C$19,"","-")</f>
        <v>-</v>
      </c>
      <c r="Q116" s="259"/>
    </row>
    <row r="117" spans="1:17" s="222" customFormat="1" ht="15" customHeight="1" x14ac:dyDescent="0.45">
      <c r="A117" s="788"/>
      <c r="B117" s="787"/>
      <c r="C117" s="779" t="str">
        <f>Arbejdsark!C227</f>
        <v>Lys</v>
      </c>
      <c r="D117" s="282">
        <f>Arbejdsark!O228</f>
        <v>1</v>
      </c>
      <c r="E117" s="282">
        <f>D117-D117</f>
        <v>0</v>
      </c>
      <c r="F117" s="282" t="str">
        <f>IF(Projektforudsætninger!B14="Ja",Arbejdsark!U228,"-")</f>
        <v>-</v>
      </c>
      <c r="G117" s="282" t="str">
        <f>IF(Projektforudsætninger!$B$14="Ja",F117-F117,"-")</f>
        <v>-</v>
      </c>
      <c r="H117" s="237" t="s">
        <v>498</v>
      </c>
      <c r="I117" s="249" t="str">
        <f>IF('Sortering af spørgsmål'!$C$16=Projektforudsætninger!$C$20,"","-")</f>
        <v>-</v>
      </c>
      <c r="J117" s="249" t="str">
        <f>IF('Sortering af spørgsmål'!$C$16=Projektforudsætninger!$C$21,"","-")</f>
        <v>-</v>
      </c>
      <c r="K117" s="249" t="str">
        <f>IF('Sortering af spørgsmål'!$C$16=Projektforudsætninger!$C$22,"","-")</f>
        <v>-</v>
      </c>
      <c r="L117" s="249" t="str">
        <f>IF('Sortering af spørgsmål'!$C$16=Projektforudsætninger!$C$23,"","-")</f>
        <v>-</v>
      </c>
      <c r="M117" s="249" t="str">
        <f>IF('Sortering af spørgsmål'!$C$16=Projektforudsætninger!$C$24,"","-")</f>
        <v>-</v>
      </c>
      <c r="N117" s="249" t="str">
        <f>IF('Sortering af spørgsmål'!$C$16=Projektforudsætninger!$C$25,"","-")</f>
        <v>-</v>
      </c>
      <c r="O117" s="249" t="str">
        <f>IF('Sortering af spørgsmål'!$C$16=Projektforudsætninger!$C$26,"","-")</f>
        <v>-</v>
      </c>
      <c r="P117" s="249" t="str">
        <f>IF('Sortering af spørgsmål'!$C$16=Projektforudsætninger!$C$19,"","-")</f>
        <v>-</v>
      </c>
      <c r="Q117" s="258"/>
    </row>
    <row r="118" spans="1:17" ht="15" customHeight="1" x14ac:dyDescent="0.45">
      <c r="A118" s="788"/>
      <c r="B118" s="787"/>
      <c r="C118" s="779"/>
      <c r="D118" s="283">
        <f>Arbejdsark!O229</f>
        <v>1</v>
      </c>
      <c r="E118" s="283">
        <f>D117-D118</f>
        <v>0</v>
      </c>
      <c r="F118" s="283" t="str">
        <f>IF(Projektforudsætninger!B14="Ja",Arbejdsark!U229,"-")</f>
        <v>-</v>
      </c>
      <c r="G118" s="283" t="str">
        <f>IF(Projektforudsætninger!$B$14="Ja",F117-F118,"-")</f>
        <v>-</v>
      </c>
      <c r="H118" s="239" t="s">
        <v>499</v>
      </c>
      <c r="I118" s="250" t="str">
        <f>IF('Sortering af spørgsmål'!$C$16=Projektforudsætninger!$C$20,"","-")</f>
        <v>-</v>
      </c>
      <c r="J118" s="250" t="str">
        <f>IF('Sortering af spørgsmål'!$C$16=Projektforudsætninger!$C$21,"","-")</f>
        <v>-</v>
      </c>
      <c r="K118" s="250" t="str">
        <f>IF('Sortering af spørgsmål'!$C$16=Projektforudsætninger!$C$22,"","-")</f>
        <v>-</v>
      </c>
      <c r="L118" s="250" t="str">
        <f>IF('Sortering af spørgsmål'!$C$16=Projektforudsætninger!$C$23,"","-")</f>
        <v>-</v>
      </c>
      <c r="M118" s="250" t="str">
        <f>IF('Sortering af spørgsmål'!$C$16=Projektforudsætninger!$C$24,"","-")</f>
        <v>-</v>
      </c>
      <c r="N118" s="250" t="str">
        <f>IF('Sortering af spørgsmål'!$C$16=Projektforudsætninger!$C$25,"","-")</f>
        <v>-</v>
      </c>
      <c r="O118" s="250" t="str">
        <f>IF('Sortering af spørgsmål'!$C$16=Projektforudsætninger!$C$26,"","-")</f>
        <v>-</v>
      </c>
      <c r="P118" s="250" t="str">
        <f>IF('Sortering af spørgsmål'!$C$16=Projektforudsætninger!$C$19,"","-")</f>
        <v>-</v>
      </c>
      <c r="Q118" s="259"/>
    </row>
    <row r="119" spans="1:17" ht="15" customHeight="1" x14ac:dyDescent="0.45">
      <c r="A119" s="788"/>
      <c r="B119" s="787"/>
      <c r="C119" s="779"/>
      <c r="D119" s="284">
        <f>Arbejdsark!O230</f>
        <v>0</v>
      </c>
      <c r="E119" s="284">
        <f>D117-D119</f>
        <v>1</v>
      </c>
      <c r="F119" s="284" t="str">
        <f>IF(Projektforudsætninger!B14="Ja",Arbejdsark!U230,"-")</f>
        <v>-</v>
      </c>
      <c r="G119" s="284" t="str">
        <f>IF(Projektforudsætninger!$B$14="Ja",F117-F119,"-")</f>
        <v>-</v>
      </c>
      <c r="H119" s="241" t="s">
        <v>495</v>
      </c>
      <c r="I119" s="251" t="str">
        <f>IF('Sortering af spørgsmål'!$C$16=Projektforudsætninger!$C$20,"","-")</f>
        <v>-</v>
      </c>
      <c r="J119" s="251" t="str">
        <f>IF('Sortering af spørgsmål'!$C$16=Projektforudsætninger!$C$21,"","-")</f>
        <v>-</v>
      </c>
      <c r="K119" s="251" t="str">
        <f>IF('Sortering af spørgsmål'!$C$16=Projektforudsætninger!$C$22,"","-")</f>
        <v>-</v>
      </c>
      <c r="L119" s="251" t="str">
        <f>IF('Sortering af spørgsmål'!$C$16=Projektforudsætninger!$C$23,"","-")</f>
        <v>-</v>
      </c>
      <c r="M119" s="251" t="str">
        <f>IF('Sortering af spørgsmål'!$C$16=Projektforudsætninger!$C$24,"","-")</f>
        <v>-</v>
      </c>
      <c r="N119" s="251" t="str">
        <f>IF('Sortering af spørgsmål'!$C$16=Projektforudsætninger!$C$25,"","-")</f>
        <v>-</v>
      </c>
      <c r="O119" s="251" t="str">
        <f>IF('Sortering af spørgsmål'!$C$16=Projektforudsætninger!$C$26,"","-")</f>
        <v>-</v>
      </c>
      <c r="P119" s="251" t="str">
        <f>IF('Sortering af spørgsmål'!$C$16=Projektforudsætninger!$C$19,"","-")</f>
        <v>-</v>
      </c>
      <c r="Q119" s="259"/>
    </row>
    <row r="120" spans="1:17" s="222" customFormat="1" ht="15" customHeight="1" x14ac:dyDescent="0.45">
      <c r="A120" s="788"/>
      <c r="B120" s="787" t="str">
        <f>Arbejdsark!A234</f>
        <v>Tilgængelighed</v>
      </c>
      <c r="C120" s="779" t="str">
        <f>Arbejdsark!C234</f>
        <v>Tilgængelighed generelt</v>
      </c>
      <c r="D120" s="282">
        <f>Arbejdsark!O235</f>
        <v>3</v>
      </c>
      <c r="E120" s="282">
        <f>D120-D120</f>
        <v>0</v>
      </c>
      <c r="F120" s="282" t="str">
        <f>IF(Projektforudsætninger!B14="Ja",Arbejdsark!U235,"-")</f>
        <v>-</v>
      </c>
      <c r="G120" s="282" t="str">
        <f>IF(Projektforudsætninger!$B$14="Ja",F120-F120,"-")</f>
        <v>-</v>
      </c>
      <c r="H120" s="237" t="s">
        <v>498</v>
      </c>
      <c r="I120" s="249" t="str">
        <f>IF('Sortering af spørgsmål'!$C$17=Projektforudsætninger!$C$20,"","-")</f>
        <v>-</v>
      </c>
      <c r="J120" s="249" t="str">
        <f>IF('Sortering af spørgsmål'!$C$17=Projektforudsætninger!$C$21,"","-")</f>
        <v>-</v>
      </c>
      <c r="K120" s="249" t="str">
        <f>IF('Sortering af spørgsmål'!$C$17=Projektforudsætninger!$C$22,"","-")</f>
        <v>-</v>
      </c>
      <c r="L120" s="249" t="str">
        <f>IF('Sortering af spørgsmål'!$C$17=Projektforudsætninger!$C$23,"","-")</f>
        <v>-</v>
      </c>
      <c r="M120" s="249" t="str">
        <f>IF('Sortering af spørgsmål'!$C$17=Projektforudsætninger!$C$24,"","-")</f>
        <v>-</v>
      </c>
      <c r="N120" s="249" t="str">
        <f>IF('Sortering af spørgsmål'!$C$17=Projektforudsætninger!$C$25,"","-")</f>
        <v>-</v>
      </c>
      <c r="O120" s="249" t="str">
        <f>IF('Sortering af spørgsmål'!$C$17=Projektforudsætninger!$C$26,"","-")</f>
        <v>-</v>
      </c>
      <c r="P120" s="249" t="str">
        <f>IF('Sortering af spørgsmål'!$C$17=Projektforudsætninger!$C$19,"","-")</f>
        <v>-</v>
      </c>
      <c r="Q120" s="258"/>
    </row>
    <row r="121" spans="1:17" ht="15" customHeight="1" x14ac:dyDescent="0.45">
      <c r="A121" s="788"/>
      <c r="B121" s="787"/>
      <c r="C121" s="779"/>
      <c r="D121" s="283">
        <f>Arbejdsark!O236</f>
        <v>2</v>
      </c>
      <c r="E121" s="283">
        <v>0</v>
      </c>
      <c r="F121" s="283" t="str">
        <f>IF(Projektforudsætninger!B14="Ja",Arbejdsark!U236,"-")</f>
        <v>-</v>
      </c>
      <c r="G121" s="283" t="str">
        <f>IF(Projektforudsætninger!$B$14="Ja",F120-F121,"-")</f>
        <v>-</v>
      </c>
      <c r="H121" s="239" t="s">
        <v>499</v>
      </c>
      <c r="I121" s="250" t="str">
        <f>IF('Sortering af spørgsmål'!$C$17=Projektforudsætninger!$C$20,"","-")</f>
        <v>-</v>
      </c>
      <c r="J121" s="250" t="str">
        <f>IF('Sortering af spørgsmål'!$C$17=Projektforudsætninger!$C$21,"","-")</f>
        <v>-</v>
      </c>
      <c r="K121" s="250" t="str">
        <f>IF('Sortering af spørgsmål'!$C$17=Projektforudsætninger!$C$22,"","-")</f>
        <v>-</v>
      </c>
      <c r="L121" s="250" t="str">
        <f>IF('Sortering af spørgsmål'!$C$17=Projektforudsætninger!$C$23,"","-")</f>
        <v>-</v>
      </c>
      <c r="M121" s="250" t="str">
        <f>IF('Sortering af spørgsmål'!$C$17=Projektforudsætninger!$C$24,"","-")</f>
        <v>-</v>
      </c>
      <c r="N121" s="250" t="str">
        <f>IF('Sortering af spørgsmål'!$C$17=Projektforudsætninger!$C$25,"","-")</f>
        <v>-</v>
      </c>
      <c r="O121" s="250" t="str">
        <f>IF('Sortering af spørgsmål'!$C$17=Projektforudsætninger!$C$26,"","-")</f>
        <v>-</v>
      </c>
      <c r="P121" s="250" t="str">
        <f>IF('Sortering af spørgsmål'!$C$17=Projektforudsætninger!$C$19,"","-")</f>
        <v>-</v>
      </c>
      <c r="Q121" s="259"/>
    </row>
    <row r="122" spans="1:17" ht="15" customHeight="1" x14ac:dyDescent="0.45">
      <c r="A122" s="788"/>
      <c r="B122" s="787"/>
      <c r="C122" s="779"/>
      <c r="D122" s="284">
        <f>Arbejdsark!O237</f>
        <v>0</v>
      </c>
      <c r="E122" s="284">
        <f>D120-D122</f>
        <v>3</v>
      </c>
      <c r="F122" s="284" t="str">
        <f>IF(Projektforudsætninger!B14="Ja",Arbejdsark!U237,"-")</f>
        <v>-</v>
      </c>
      <c r="G122" s="284" t="str">
        <f>IF(Projektforudsætninger!$B$14="Ja",F120-F122,"-")</f>
        <v>-</v>
      </c>
      <c r="H122" s="241" t="s">
        <v>495</v>
      </c>
      <c r="I122" s="251" t="str">
        <f>IF('Sortering af spørgsmål'!$C$17=Projektforudsætninger!$C$20,"","-")</f>
        <v>-</v>
      </c>
      <c r="J122" s="251" t="str">
        <f>IF('Sortering af spørgsmål'!$C$17=Projektforudsætninger!$C$21,"","-")</f>
        <v>-</v>
      </c>
      <c r="K122" s="251" t="str">
        <f>IF('Sortering af spørgsmål'!$C$17=Projektforudsætninger!$C$22,"","-")</f>
        <v>-</v>
      </c>
      <c r="L122" s="251" t="str">
        <f>IF('Sortering af spørgsmål'!$C$17=Projektforudsætninger!$C$23,"","-")</f>
        <v>-</v>
      </c>
      <c r="M122" s="251" t="str">
        <f>IF('Sortering af spørgsmål'!$C$17=Projektforudsætninger!$C$24,"","-")</f>
        <v>-</v>
      </c>
      <c r="N122" s="251" t="str">
        <f>IF('Sortering af spørgsmål'!$C$17=Projektforudsætninger!$C$25,"","-")</f>
        <v>-</v>
      </c>
      <c r="O122" s="251" t="str">
        <f>IF('Sortering af spørgsmål'!$C$17=Projektforudsætninger!$C$26,"","-")</f>
        <v>-</v>
      </c>
      <c r="P122" s="251" t="str">
        <f>IF('Sortering af spørgsmål'!$C$17=Projektforudsætninger!$C$19,"","-")</f>
        <v>-</v>
      </c>
      <c r="Q122" s="259"/>
    </row>
    <row r="123" spans="1:17" s="222" customFormat="1" ht="15" customHeight="1" x14ac:dyDescent="0.45">
      <c r="A123" s="788"/>
      <c r="B123" s="787"/>
      <c r="C123" s="779" t="e">
        <f>Arbejdsark!#REF!</f>
        <v>#REF!</v>
      </c>
      <c r="D123" s="282" t="e">
        <f>Arbejdsark!#REF!</f>
        <v>#REF!</v>
      </c>
      <c r="E123" s="282" t="e">
        <f>D123-D123</f>
        <v>#REF!</v>
      </c>
      <c r="F123" s="282" t="str">
        <f>IF(Projektforudsætninger!B14="Ja",Arbejdsark!#REF!,"-")</f>
        <v>-</v>
      </c>
      <c r="G123" s="282" t="str">
        <f>IF(Projektforudsætninger!$B$14="Ja",F123-F123,"-")</f>
        <v>-</v>
      </c>
      <c r="H123" s="237" t="s">
        <v>498</v>
      </c>
      <c r="I123" s="249" t="str">
        <f>IF('Sortering af spørgsmål'!$C$17=Projektforudsætninger!$C$20,"","-")</f>
        <v>-</v>
      </c>
      <c r="J123" s="249" t="str">
        <f>IF('Sortering af spørgsmål'!$C$17=Projektforudsætninger!$C$21,"","-")</f>
        <v>-</v>
      </c>
      <c r="K123" s="249" t="str">
        <f>IF('Sortering af spørgsmål'!$C$17=Projektforudsætninger!$C$22,"","-")</f>
        <v>-</v>
      </c>
      <c r="L123" s="249" t="str">
        <f>IF('Sortering af spørgsmål'!$C$17=Projektforudsætninger!$C$23,"","-")</f>
        <v>-</v>
      </c>
      <c r="M123" s="249" t="str">
        <f>IF('Sortering af spørgsmål'!$C$17=Projektforudsætninger!$C$24,"","-")</f>
        <v>-</v>
      </c>
      <c r="N123" s="249" t="str">
        <f>IF('Sortering af spørgsmål'!$C$17=Projektforudsætninger!$C$25,"","-")</f>
        <v>-</v>
      </c>
      <c r="O123" s="249" t="str">
        <f>IF('Sortering af spørgsmål'!$C$17=Projektforudsætninger!$C$26,"","-")</f>
        <v>-</v>
      </c>
      <c r="P123" s="249" t="str">
        <f>IF('Sortering af spørgsmål'!$C$17=Projektforudsætninger!$C$19,"","-")</f>
        <v>-</v>
      </c>
      <c r="Q123" s="258"/>
    </row>
    <row r="124" spans="1:17" ht="15" customHeight="1" x14ac:dyDescent="0.45">
      <c r="A124" s="788"/>
      <c r="B124" s="787"/>
      <c r="C124" s="779"/>
      <c r="D124" s="283" t="e">
        <f>Arbejdsark!#REF!</f>
        <v>#REF!</v>
      </c>
      <c r="E124" s="283">
        <v>0</v>
      </c>
      <c r="F124" s="283" t="str">
        <f>IF(Projektforudsætninger!B14="Ja",Arbejdsark!#REF!,"-")</f>
        <v>-</v>
      </c>
      <c r="G124" s="283" t="str">
        <f>IF(Projektforudsætninger!$B$14="Ja",F123-F124,"-")</f>
        <v>-</v>
      </c>
      <c r="H124" s="239" t="s">
        <v>499</v>
      </c>
      <c r="I124" s="250" t="str">
        <f>IF('Sortering af spørgsmål'!$C$17=Projektforudsætninger!$C$20,"","-")</f>
        <v>-</v>
      </c>
      <c r="J124" s="250" t="str">
        <f>IF('Sortering af spørgsmål'!$C$17=Projektforudsætninger!$C$21,"","-")</f>
        <v>-</v>
      </c>
      <c r="K124" s="250" t="str">
        <f>IF('Sortering af spørgsmål'!$C$17=Projektforudsætninger!$C$22,"","-")</f>
        <v>-</v>
      </c>
      <c r="L124" s="250" t="str">
        <f>IF('Sortering af spørgsmål'!$C$17=Projektforudsætninger!$C$23,"","-")</f>
        <v>-</v>
      </c>
      <c r="M124" s="250" t="str">
        <f>IF('Sortering af spørgsmål'!$C$17=Projektforudsætninger!$C$24,"","-")</f>
        <v>-</v>
      </c>
      <c r="N124" s="250" t="str">
        <f>IF('Sortering af spørgsmål'!$C$17=Projektforudsætninger!$C$25,"","-")</f>
        <v>-</v>
      </c>
      <c r="O124" s="250" t="str">
        <f>IF('Sortering af spørgsmål'!$C$17=Projektforudsætninger!$C$26,"","-")</f>
        <v>-</v>
      </c>
      <c r="P124" s="250" t="str">
        <f>IF('Sortering af spørgsmål'!$C$17=Projektforudsætninger!$C$19,"","-")</f>
        <v>-</v>
      </c>
      <c r="Q124" s="259"/>
    </row>
    <row r="125" spans="1:17" ht="15" customHeight="1" x14ac:dyDescent="0.45">
      <c r="A125" s="788"/>
      <c r="B125" s="787"/>
      <c r="C125" s="779"/>
      <c r="D125" s="284" t="e">
        <f>Arbejdsark!#REF!</f>
        <v>#REF!</v>
      </c>
      <c r="E125" s="284" t="e">
        <f>D123-D125</f>
        <v>#REF!</v>
      </c>
      <c r="F125" s="284" t="str">
        <f>IF(Projektforudsætninger!B14="Ja",Arbejdsark!#REF!,"-")</f>
        <v>-</v>
      </c>
      <c r="G125" s="284" t="str">
        <f>IF(Projektforudsætninger!$B$14="Ja",F123-F125,"-")</f>
        <v>-</v>
      </c>
      <c r="H125" s="241" t="s">
        <v>495</v>
      </c>
      <c r="I125" s="251" t="str">
        <f>IF('Sortering af spørgsmål'!$C$17=Projektforudsætninger!$C$20,"","-")</f>
        <v>-</v>
      </c>
      <c r="J125" s="251" t="str">
        <f>IF('Sortering af spørgsmål'!$C$17=Projektforudsætninger!$C$21,"","-")</f>
        <v>-</v>
      </c>
      <c r="K125" s="251" t="str">
        <f>IF('Sortering af spørgsmål'!$C$17=Projektforudsætninger!$C$22,"","-")</f>
        <v>-</v>
      </c>
      <c r="L125" s="251" t="str">
        <f>IF('Sortering af spørgsmål'!$C$17=Projektforudsætninger!$C$23,"","-")</f>
        <v>-</v>
      </c>
      <c r="M125" s="251" t="str">
        <f>IF('Sortering af spørgsmål'!$C$17=Projektforudsætninger!$C$24,"","-")</f>
        <v>-</v>
      </c>
      <c r="N125" s="251" t="str">
        <f>IF('Sortering af spørgsmål'!$C$17=Projektforudsætninger!$C$25,"","-")</f>
        <v>-</v>
      </c>
      <c r="O125" s="251" t="str">
        <f>IF('Sortering af spørgsmål'!$C$17=Projektforudsætninger!$C$26,"","-")</f>
        <v>-</v>
      </c>
      <c r="P125" s="251" t="str">
        <f>IF('Sortering af spørgsmål'!$C$17=Projektforudsætninger!$C$19,"","-")</f>
        <v>-</v>
      </c>
      <c r="Q125" s="259"/>
    </row>
    <row r="126" spans="1:17" s="222" customFormat="1" ht="15" customHeight="1" x14ac:dyDescent="0.45">
      <c r="A126" s="788"/>
      <c r="B126" s="787" t="str">
        <f>Arbejdsark!A239</f>
        <v>Udearealer</v>
      </c>
      <c r="C126" s="779" t="str">
        <f>Arbejdsark!C239</f>
        <v>Inventar</v>
      </c>
      <c r="D126" s="282">
        <f>Arbejdsark!O240</f>
        <v>1</v>
      </c>
      <c r="E126" s="282">
        <f>D126-D126</f>
        <v>0</v>
      </c>
      <c r="F126" s="282" t="str">
        <f>IF(Projektforudsætninger!B14="Ja",Arbejdsark!U240,"-")</f>
        <v>-</v>
      </c>
      <c r="G126" s="282" t="str">
        <f>IF(Projektforudsætninger!$B$14="Ja",F126-F126,"-")</f>
        <v>-</v>
      </c>
      <c r="H126" s="237" t="s">
        <v>498</v>
      </c>
      <c r="I126" s="249" t="str">
        <f>IF('Sortering af spørgsmål'!$C$18=Projektforudsætninger!$C$20,"","-")</f>
        <v>-</v>
      </c>
      <c r="J126" s="249" t="str">
        <f>IF('Sortering af spørgsmål'!$C$18=Projektforudsætninger!$C$21,"","-")</f>
        <v>-</v>
      </c>
      <c r="K126" s="249" t="str">
        <f>IF('Sortering af spørgsmål'!$C$18=Projektforudsætninger!$C$22,"","-")</f>
        <v>-</v>
      </c>
      <c r="L126" s="249" t="str">
        <f>IF('Sortering af spørgsmål'!$C$18=Projektforudsætninger!$C$23,"","-")</f>
        <v>-</v>
      </c>
      <c r="M126" s="249" t="str">
        <f>IF('Sortering af spørgsmål'!$C$18=Projektforudsætninger!$C$24,"","-")</f>
        <v>-</v>
      </c>
      <c r="N126" s="249" t="str">
        <f>IF('Sortering af spørgsmål'!$C$18=Projektforudsætninger!$C$25,"","-")</f>
        <v>-</v>
      </c>
      <c r="O126" s="249" t="str">
        <f>IF('Sortering af spørgsmål'!$C$18=Projektforudsætninger!$C$26,"","-")</f>
        <v>-</v>
      </c>
      <c r="P126" s="249" t="str">
        <f>IF('Sortering af spørgsmål'!$C$18=Projektforudsætninger!$C$19,"","-")</f>
        <v>-</v>
      </c>
      <c r="Q126" s="258"/>
    </row>
    <row r="127" spans="1:17" ht="15" customHeight="1" x14ac:dyDescent="0.45">
      <c r="A127" s="788"/>
      <c r="B127" s="787"/>
      <c r="C127" s="779"/>
      <c r="D127" s="283">
        <f>Arbejdsark!O241</f>
        <v>1</v>
      </c>
      <c r="E127" s="283">
        <v>0</v>
      </c>
      <c r="F127" s="283" t="str">
        <f>IF(Projektforudsætninger!B14="Ja",Arbejdsark!U241,"-")</f>
        <v>-</v>
      </c>
      <c r="G127" s="283" t="str">
        <f>IF(Projektforudsætninger!$B$14="Ja",F126-F127,"-")</f>
        <v>-</v>
      </c>
      <c r="H127" s="239" t="s">
        <v>499</v>
      </c>
      <c r="I127" s="250" t="str">
        <f>IF('Sortering af spørgsmål'!$C$18=Projektforudsætninger!$C$20,"","-")</f>
        <v>-</v>
      </c>
      <c r="J127" s="250" t="str">
        <f>IF('Sortering af spørgsmål'!$C$18=Projektforudsætninger!$C$21,"","-")</f>
        <v>-</v>
      </c>
      <c r="K127" s="250" t="str">
        <f>IF('Sortering af spørgsmål'!$C$18=Projektforudsætninger!$C$22,"","-")</f>
        <v>-</v>
      </c>
      <c r="L127" s="250" t="str">
        <f>IF('Sortering af spørgsmål'!$C$18=Projektforudsætninger!$C$23,"","-")</f>
        <v>-</v>
      </c>
      <c r="M127" s="250" t="str">
        <f>IF('Sortering af spørgsmål'!$C$18=Projektforudsætninger!$C$24,"","-")</f>
        <v>-</v>
      </c>
      <c r="N127" s="250" t="str">
        <f>IF('Sortering af spørgsmål'!$C$18=Projektforudsætninger!$C$25,"","-")</f>
        <v>-</v>
      </c>
      <c r="O127" s="250" t="str">
        <f>IF('Sortering af spørgsmål'!$C$18=Projektforudsætninger!$C$26,"","-")</f>
        <v>-</v>
      </c>
      <c r="P127" s="250" t="str">
        <f>IF('Sortering af spørgsmål'!$C$18=Projektforudsætninger!$C$19,"","-")</f>
        <v>-</v>
      </c>
      <c r="Q127" s="259"/>
    </row>
    <row r="128" spans="1:17" ht="15" customHeight="1" x14ac:dyDescent="0.45">
      <c r="A128" s="788"/>
      <c r="B128" s="787"/>
      <c r="C128" s="779"/>
      <c r="D128" s="284">
        <f>Arbejdsark!O242</f>
        <v>0</v>
      </c>
      <c r="E128" s="284">
        <f>D126-D128</f>
        <v>1</v>
      </c>
      <c r="F128" s="284" t="str">
        <f>IF(Projektforudsætninger!B14="Ja",Arbejdsark!U242,"-")</f>
        <v>-</v>
      </c>
      <c r="G128" s="284" t="str">
        <f>IF(Projektforudsætninger!$B$14="Ja",F126-F128,"-")</f>
        <v>-</v>
      </c>
      <c r="H128" s="241" t="s">
        <v>495</v>
      </c>
      <c r="I128" s="251" t="str">
        <f>IF('Sortering af spørgsmål'!$C$18=Projektforudsætninger!$C$20,"","-")</f>
        <v>-</v>
      </c>
      <c r="J128" s="251" t="str">
        <f>IF('Sortering af spørgsmål'!$C$18=Projektforudsætninger!$C$21,"","-")</f>
        <v>-</v>
      </c>
      <c r="K128" s="251" t="str">
        <f>IF('Sortering af spørgsmål'!$C$18=Projektforudsætninger!$C$22,"","-")</f>
        <v>-</v>
      </c>
      <c r="L128" s="251" t="str">
        <f>IF('Sortering af spørgsmål'!$C$18=Projektforudsætninger!$C$23,"","-")</f>
        <v>-</v>
      </c>
      <c r="M128" s="251" t="str">
        <f>IF('Sortering af spørgsmål'!$C$18=Projektforudsætninger!$C$24,"","-")</f>
        <v>-</v>
      </c>
      <c r="N128" s="251" t="str">
        <f>IF('Sortering af spørgsmål'!$C$18=Projektforudsætninger!$C$25,"","-")</f>
        <v>-</v>
      </c>
      <c r="O128" s="251" t="str">
        <f>IF('Sortering af spørgsmål'!$C$18=Projektforudsætninger!$C$26,"","-")</f>
        <v>-</v>
      </c>
      <c r="P128" s="251" t="str">
        <f>IF('Sortering af spørgsmål'!$C$18=Projektforudsætninger!$C$19,"","-")</f>
        <v>-</v>
      </c>
      <c r="Q128" s="259"/>
    </row>
    <row r="129" spans="1:17" s="222" customFormat="1" ht="15" customHeight="1" x14ac:dyDescent="0.45">
      <c r="A129" s="788"/>
      <c r="B129" s="787"/>
      <c r="C129" s="779" t="str">
        <f>Arbejdsark!C244</f>
        <v>Tryghed</v>
      </c>
      <c r="D129" s="282">
        <f>Arbejdsark!O245</f>
        <v>1</v>
      </c>
      <c r="E129" s="282">
        <f>D129-D129</f>
        <v>0</v>
      </c>
      <c r="F129" s="282" t="str">
        <f>IF(Projektforudsætninger!B14="Ja",Arbejdsark!U245,"-")</f>
        <v>-</v>
      </c>
      <c r="G129" s="282" t="str">
        <f>IF(Projektforudsætninger!$B$14="Ja",F129-F129,"-")</f>
        <v>-</v>
      </c>
      <c r="H129" s="237" t="s">
        <v>498</v>
      </c>
      <c r="I129" s="249" t="str">
        <f>IF('Sortering af spørgsmål'!$C$18=Projektforudsætninger!$C$20,"","-")</f>
        <v>-</v>
      </c>
      <c r="J129" s="249" t="str">
        <f>IF('Sortering af spørgsmål'!$C$18=Projektforudsætninger!$C$21,"","-")</f>
        <v>-</v>
      </c>
      <c r="K129" s="249" t="str">
        <f>IF('Sortering af spørgsmål'!$C$18=Projektforudsætninger!$C$22,"","-")</f>
        <v>-</v>
      </c>
      <c r="L129" s="249" t="str">
        <f>IF('Sortering af spørgsmål'!$C$18=Projektforudsætninger!$C$23,"","-")</f>
        <v>-</v>
      </c>
      <c r="M129" s="249" t="str">
        <f>IF('Sortering af spørgsmål'!$C$18=Projektforudsætninger!$C$24,"","-")</f>
        <v>-</v>
      </c>
      <c r="N129" s="249" t="str">
        <f>IF('Sortering af spørgsmål'!$C$18=Projektforudsætninger!$C$25,"","-")</f>
        <v>-</v>
      </c>
      <c r="O129" s="249" t="str">
        <f>IF('Sortering af spørgsmål'!$C$18=Projektforudsætninger!$C$26,"","-")</f>
        <v>-</v>
      </c>
      <c r="P129" s="249" t="str">
        <f>IF('Sortering af spørgsmål'!$C$18=Projektforudsætninger!$C$19,"","-")</f>
        <v>-</v>
      </c>
      <c r="Q129" s="258"/>
    </row>
    <row r="130" spans="1:17" ht="15" customHeight="1" x14ac:dyDescent="0.45">
      <c r="A130" s="788"/>
      <c r="B130" s="787"/>
      <c r="C130" s="779"/>
      <c r="D130" s="283">
        <f>Arbejdsark!O246</f>
        <v>1</v>
      </c>
      <c r="E130" s="283">
        <v>0</v>
      </c>
      <c r="F130" s="283" t="str">
        <f>IF(Projektforudsætninger!B14="Ja",Arbejdsark!U246,"-")</f>
        <v>-</v>
      </c>
      <c r="G130" s="283" t="str">
        <f>IF(Projektforudsætninger!$B$14="Ja",F129-F130,"-")</f>
        <v>-</v>
      </c>
      <c r="H130" s="239" t="s">
        <v>499</v>
      </c>
      <c r="I130" s="250" t="str">
        <f>IF('Sortering af spørgsmål'!$C$18=Projektforudsætninger!$C$20,"","-")</f>
        <v>-</v>
      </c>
      <c r="J130" s="250" t="str">
        <f>IF('Sortering af spørgsmål'!$C$18=Projektforudsætninger!$C$21,"","-")</f>
        <v>-</v>
      </c>
      <c r="K130" s="250" t="str">
        <f>IF('Sortering af spørgsmål'!$C$18=Projektforudsætninger!$C$22,"","-")</f>
        <v>-</v>
      </c>
      <c r="L130" s="250" t="str">
        <f>IF('Sortering af spørgsmål'!$C$18=Projektforudsætninger!$C$23,"","-")</f>
        <v>-</v>
      </c>
      <c r="M130" s="250" t="str">
        <f>IF('Sortering af spørgsmål'!$C$18=Projektforudsætninger!$C$24,"","-")</f>
        <v>-</v>
      </c>
      <c r="N130" s="250" t="str">
        <f>IF('Sortering af spørgsmål'!$C$18=Projektforudsætninger!$C$25,"","-")</f>
        <v>-</v>
      </c>
      <c r="O130" s="250" t="str">
        <f>IF('Sortering af spørgsmål'!$C$18=Projektforudsætninger!$C$26,"","-")</f>
        <v>-</v>
      </c>
      <c r="P130" s="250" t="str">
        <f>IF('Sortering af spørgsmål'!$C$18=Projektforudsætninger!$C$19,"","-")</f>
        <v>-</v>
      </c>
      <c r="Q130" s="259"/>
    </row>
    <row r="131" spans="1:17" ht="15" customHeight="1" x14ac:dyDescent="0.45">
      <c r="A131" s="788"/>
      <c r="B131" s="787"/>
      <c r="C131" s="779"/>
      <c r="D131" s="284">
        <f>Arbejdsark!O247</f>
        <v>0</v>
      </c>
      <c r="E131" s="284">
        <f>D129-D131</f>
        <v>1</v>
      </c>
      <c r="F131" s="284" t="str">
        <f>IF(Projektforudsætninger!B14="Ja",Arbejdsark!U247,"-")</f>
        <v>-</v>
      </c>
      <c r="G131" s="284" t="str">
        <f>IF(Projektforudsætninger!$B$14="Ja",F129-F131,"-")</f>
        <v>-</v>
      </c>
      <c r="H131" s="241" t="s">
        <v>495</v>
      </c>
      <c r="I131" s="251" t="str">
        <f>IF('Sortering af spørgsmål'!$C$18=Projektforudsætninger!$C$20,"","-")</f>
        <v>-</v>
      </c>
      <c r="J131" s="251" t="str">
        <f>IF('Sortering af spørgsmål'!$C$18=Projektforudsætninger!$C$21,"","-")</f>
        <v>-</v>
      </c>
      <c r="K131" s="251" t="str">
        <f>IF('Sortering af spørgsmål'!$C$18=Projektforudsætninger!$C$22,"","-")</f>
        <v>-</v>
      </c>
      <c r="L131" s="251" t="str">
        <f>IF('Sortering af spørgsmål'!$C$18=Projektforudsætninger!$C$23,"","-")</f>
        <v>-</v>
      </c>
      <c r="M131" s="251" t="str">
        <f>IF('Sortering af spørgsmål'!$C$18=Projektforudsætninger!$C$24,"","-")</f>
        <v>-</v>
      </c>
      <c r="N131" s="251" t="str">
        <f>IF('Sortering af spørgsmål'!$C$18=Projektforudsætninger!$C$25,"","-")</f>
        <v>-</v>
      </c>
      <c r="O131" s="251" t="str">
        <f>IF('Sortering af spørgsmål'!$C$18=Projektforudsætninger!$C$26,"","-")</f>
        <v>-</v>
      </c>
      <c r="P131" s="251" t="str">
        <f>IF('Sortering af spørgsmål'!$C$18=Projektforudsætninger!$C$19,"","-")</f>
        <v>-</v>
      </c>
      <c r="Q131" s="259"/>
    </row>
    <row r="132" spans="1:17" s="222" customFormat="1" ht="15" customHeight="1" x14ac:dyDescent="0.45">
      <c r="A132" s="788"/>
      <c r="B132" s="787" t="str">
        <f>Arbejdsark!A250</f>
        <v>Cyklister</v>
      </c>
      <c r="C132" s="779" t="str">
        <f>Arbejdsark!C250</f>
        <v>Cykelfaciliteter</v>
      </c>
      <c r="D132" s="282">
        <f>Arbejdsark!O251</f>
        <v>1</v>
      </c>
      <c r="E132" s="282">
        <f>D132-D132</f>
        <v>0</v>
      </c>
      <c r="F132" s="282" t="str">
        <f>IF(Projektforudsætninger!B14="Ja",Arbejdsark!U251,"-")</f>
        <v>-</v>
      </c>
      <c r="G132" s="282" t="str">
        <f>IF(Projektforudsætninger!$B$14="Ja",F132-F132,"-")</f>
        <v>-</v>
      </c>
      <c r="H132" s="237" t="s">
        <v>498</v>
      </c>
      <c r="I132" s="249" t="str">
        <f>IF('Sortering af spørgsmål'!$C$19=Projektforudsætninger!$C$20,"","-")</f>
        <v>-</v>
      </c>
      <c r="J132" s="249" t="str">
        <f>IF('Sortering af spørgsmål'!$C$19=Projektforudsætninger!$C$21,"","-")</f>
        <v>-</v>
      </c>
      <c r="K132" s="249" t="str">
        <f>IF('Sortering af spørgsmål'!$C$19=Projektforudsætninger!$C$22,"","-")</f>
        <v>-</v>
      </c>
      <c r="L132" s="249" t="str">
        <f>IF('Sortering af spørgsmål'!$C$19=Projektforudsætninger!$C$23,"","-")</f>
        <v>-</v>
      </c>
      <c r="M132" s="249" t="str">
        <f>IF('Sortering af spørgsmål'!$C$19=Projektforudsætninger!$C$24,"","-")</f>
        <v>-</v>
      </c>
      <c r="N132" s="249" t="str">
        <f>IF('Sortering af spørgsmål'!$C$19=Projektforudsætninger!$C$25,"","-")</f>
        <v>-</v>
      </c>
      <c r="O132" s="249" t="str">
        <f>IF('Sortering af spørgsmål'!$C$19=Projektforudsætninger!$C$26,"","-")</f>
        <v>-</v>
      </c>
      <c r="P132" s="249" t="str">
        <f>IF('Sortering af spørgsmål'!$C$19=Projektforudsætninger!$C$19,"","-")</f>
        <v>-</v>
      </c>
      <c r="Q132" s="258"/>
    </row>
    <row r="133" spans="1:17" ht="15" customHeight="1" x14ac:dyDescent="0.45">
      <c r="A133" s="788"/>
      <c r="B133" s="787"/>
      <c r="C133" s="779"/>
      <c r="D133" s="283">
        <f>Arbejdsark!O252</f>
        <v>1</v>
      </c>
      <c r="E133" s="283">
        <v>0</v>
      </c>
      <c r="F133" s="283" t="str">
        <f>IF(Projektforudsætninger!B14="Ja",Arbejdsark!U252,"-")</f>
        <v>-</v>
      </c>
      <c r="G133" s="283" t="str">
        <f>IF(Projektforudsætninger!$B$14="Ja",F132-F133,"-")</f>
        <v>-</v>
      </c>
      <c r="H133" s="239" t="s">
        <v>499</v>
      </c>
      <c r="I133" s="250" t="str">
        <f>IF('Sortering af spørgsmål'!$C$19=Projektforudsætninger!$C$20,"","-")</f>
        <v>-</v>
      </c>
      <c r="J133" s="250" t="str">
        <f>IF('Sortering af spørgsmål'!$C$19=Projektforudsætninger!$C$21,"","-")</f>
        <v>-</v>
      </c>
      <c r="K133" s="250" t="str">
        <f>IF('Sortering af spørgsmål'!$C$19=Projektforudsætninger!$C$22,"","-")</f>
        <v>-</v>
      </c>
      <c r="L133" s="250" t="str">
        <f>IF('Sortering af spørgsmål'!$C$19=Projektforudsætninger!$C$23,"","-")</f>
        <v>-</v>
      </c>
      <c r="M133" s="250" t="str">
        <f>IF('Sortering af spørgsmål'!$C$19=Projektforudsætninger!$C$24,"","-")</f>
        <v>-</v>
      </c>
      <c r="N133" s="250" t="str">
        <f>IF('Sortering af spørgsmål'!$C$19=Projektforudsætninger!$C$25,"","-")</f>
        <v>-</v>
      </c>
      <c r="O133" s="250" t="str">
        <f>IF('Sortering af spørgsmål'!$C$19=Projektforudsætninger!$C$26,"","-")</f>
        <v>-</v>
      </c>
      <c r="P133" s="250" t="str">
        <f>IF('Sortering af spørgsmål'!$C$19=Projektforudsætninger!$C$19,"","-")</f>
        <v>-</v>
      </c>
      <c r="Q133" s="259"/>
    </row>
    <row r="134" spans="1:17" ht="15" customHeight="1" x14ac:dyDescent="0.45">
      <c r="A134" s="788"/>
      <c r="B134" s="787"/>
      <c r="C134" s="779"/>
      <c r="D134" s="284">
        <f>Arbejdsark!O253</f>
        <v>0</v>
      </c>
      <c r="E134" s="284">
        <f>D132-D134</f>
        <v>1</v>
      </c>
      <c r="F134" s="284" t="str">
        <f>IF(Projektforudsætninger!B14="Ja",Arbejdsark!U253,"-")</f>
        <v>-</v>
      </c>
      <c r="G134" s="284" t="str">
        <f>IF(Projektforudsætninger!$B$14="Ja",F132-F134,"-")</f>
        <v>-</v>
      </c>
      <c r="H134" s="241" t="s">
        <v>495</v>
      </c>
      <c r="I134" s="251" t="str">
        <f>IF('Sortering af spørgsmål'!$C$19=Projektforudsætninger!$C$20,"","-")</f>
        <v>-</v>
      </c>
      <c r="J134" s="251" t="str">
        <f>IF('Sortering af spørgsmål'!$C$19=Projektforudsætninger!$C$21,"","-")</f>
        <v>-</v>
      </c>
      <c r="K134" s="251" t="str">
        <f>IF('Sortering af spørgsmål'!$C$19=Projektforudsætninger!$C$22,"","-")</f>
        <v>-</v>
      </c>
      <c r="L134" s="251" t="str">
        <f>IF('Sortering af spørgsmål'!$C$19=Projektforudsætninger!$C$23,"","-")</f>
        <v>-</v>
      </c>
      <c r="M134" s="251" t="str">
        <f>IF('Sortering af spørgsmål'!$C$19=Projektforudsætninger!$C$24,"","-")</f>
        <v>-</v>
      </c>
      <c r="N134" s="251" t="str">
        <f>IF('Sortering af spørgsmål'!$C$19=Projektforudsætninger!$C$25,"","-")</f>
        <v>-</v>
      </c>
      <c r="O134" s="251" t="str">
        <f>IF('Sortering af spørgsmål'!$C$19=Projektforudsætninger!$C$26,"","-")</f>
        <v>-</v>
      </c>
      <c r="P134" s="251" t="str">
        <f>IF('Sortering af spørgsmål'!$C$19=Projektforudsætninger!$C$19,"","-")</f>
        <v>-</v>
      </c>
      <c r="Q134" s="259"/>
    </row>
    <row r="135" spans="1:17" s="222" customFormat="1" ht="15" customHeight="1" x14ac:dyDescent="0.45">
      <c r="A135" s="788"/>
      <c r="B135" s="787"/>
      <c r="C135" s="779" t="str">
        <f>Arbejdsark!C255</f>
        <v>Placering af cykelparkering</v>
      </c>
      <c r="D135" s="282">
        <f>Arbejdsark!O256</f>
        <v>1</v>
      </c>
      <c r="E135" s="282">
        <f>D135-D135</f>
        <v>0</v>
      </c>
      <c r="F135" s="282" t="str">
        <f>IF(Projektforudsætninger!B14="Ja",Arbejdsark!U256,"-")</f>
        <v>-</v>
      </c>
      <c r="G135" s="282" t="str">
        <f>IF(Projektforudsætninger!$B$14="Ja",F135-F135,"-")</f>
        <v>-</v>
      </c>
      <c r="H135" s="237" t="s">
        <v>498</v>
      </c>
      <c r="I135" s="249" t="str">
        <f>IF('Sortering af spørgsmål'!$C$19=Projektforudsætninger!$C$20,"","-")</f>
        <v>-</v>
      </c>
      <c r="J135" s="249" t="str">
        <f>IF('Sortering af spørgsmål'!$C$19=Projektforudsætninger!$C$21,"","-")</f>
        <v>-</v>
      </c>
      <c r="K135" s="249" t="str">
        <f>IF('Sortering af spørgsmål'!$C$19=Projektforudsætninger!$C$22,"","-")</f>
        <v>-</v>
      </c>
      <c r="L135" s="249" t="str">
        <f>IF('Sortering af spørgsmål'!$C$19=Projektforudsætninger!$C$23,"","-")</f>
        <v>-</v>
      </c>
      <c r="M135" s="249" t="str">
        <f>IF('Sortering af spørgsmål'!$C$19=Projektforudsætninger!$C$24,"","-")</f>
        <v>-</v>
      </c>
      <c r="N135" s="249" t="str">
        <f>IF('Sortering af spørgsmål'!$C$19=Projektforudsætninger!$C$25,"","-")</f>
        <v>-</v>
      </c>
      <c r="O135" s="249" t="str">
        <f>IF('Sortering af spørgsmål'!$C$19=Projektforudsætninger!$C$26,"","-")</f>
        <v>-</v>
      </c>
      <c r="P135" s="249" t="str">
        <f>IF('Sortering af spørgsmål'!$C$19=Projektforudsætninger!$C$19,"","-")</f>
        <v>-</v>
      </c>
      <c r="Q135" s="258"/>
    </row>
    <row r="136" spans="1:17" ht="15" customHeight="1" x14ac:dyDescent="0.45">
      <c r="A136" s="788"/>
      <c r="B136" s="787"/>
      <c r="C136" s="779"/>
      <c r="D136" s="283">
        <f>Arbejdsark!O257</f>
        <v>1</v>
      </c>
      <c r="E136" s="283">
        <v>0</v>
      </c>
      <c r="F136" s="283" t="str">
        <f>IF(Projektforudsætninger!B14="Ja",Arbejdsark!U257,"-")</f>
        <v>-</v>
      </c>
      <c r="G136" s="283" t="str">
        <f>IF(Projektforudsætninger!$B$14="Ja",F135-F136,"-")</f>
        <v>-</v>
      </c>
      <c r="H136" s="239" t="s">
        <v>499</v>
      </c>
      <c r="I136" s="250" t="str">
        <f>IF('Sortering af spørgsmål'!$C$19=Projektforudsætninger!$C$20,"","-")</f>
        <v>-</v>
      </c>
      <c r="J136" s="250" t="str">
        <f>IF('Sortering af spørgsmål'!$C$19=Projektforudsætninger!$C$21,"","-")</f>
        <v>-</v>
      </c>
      <c r="K136" s="250" t="str">
        <f>IF('Sortering af spørgsmål'!$C$19=Projektforudsætninger!$C$22,"","-")</f>
        <v>-</v>
      </c>
      <c r="L136" s="250" t="str">
        <f>IF('Sortering af spørgsmål'!$C$19=Projektforudsætninger!$C$23,"","-")</f>
        <v>-</v>
      </c>
      <c r="M136" s="250" t="str">
        <f>IF('Sortering af spørgsmål'!$C$19=Projektforudsætninger!$C$24,"","-")</f>
        <v>-</v>
      </c>
      <c r="N136" s="250" t="str">
        <f>IF('Sortering af spørgsmål'!$C$19=Projektforudsætninger!$C$25,"","-")</f>
        <v>-</v>
      </c>
      <c r="O136" s="250" t="str">
        <f>IF('Sortering af spørgsmål'!$C$19=Projektforudsætninger!$C$26,"","-")</f>
        <v>-</v>
      </c>
      <c r="P136" s="250" t="str">
        <f>IF('Sortering af spørgsmål'!$C$19=Projektforudsætninger!$C$19,"","-")</f>
        <v>-</v>
      </c>
      <c r="Q136" s="259"/>
    </row>
    <row r="137" spans="1:17" ht="15" customHeight="1" x14ac:dyDescent="0.45">
      <c r="A137" s="788"/>
      <c r="B137" s="787"/>
      <c r="C137" s="779"/>
      <c r="D137" s="284">
        <f>Arbejdsark!O258</f>
        <v>0</v>
      </c>
      <c r="E137" s="284">
        <f>D135-D137</f>
        <v>1</v>
      </c>
      <c r="F137" s="284" t="str">
        <f>IF(Projektforudsætninger!B14="Ja",Arbejdsark!U258,"-")</f>
        <v>-</v>
      </c>
      <c r="G137" s="284" t="str">
        <f>IF(Projektforudsætninger!$B$14="Ja",F135-F137,"-")</f>
        <v>-</v>
      </c>
      <c r="H137" s="241" t="s">
        <v>495</v>
      </c>
      <c r="I137" s="251" t="str">
        <f>IF('Sortering af spørgsmål'!$C$19=Projektforudsætninger!$C$20,"","-")</f>
        <v>-</v>
      </c>
      <c r="J137" s="251" t="str">
        <f>IF('Sortering af spørgsmål'!$C$19=Projektforudsætninger!$C$21,"","-")</f>
        <v>-</v>
      </c>
      <c r="K137" s="251" t="str">
        <f>IF('Sortering af spørgsmål'!$C$19=Projektforudsætninger!$C$22,"","-")</f>
        <v>-</v>
      </c>
      <c r="L137" s="251" t="str">
        <f>IF('Sortering af spørgsmål'!$C$19=Projektforudsætninger!$C$23,"","-")</f>
        <v>-</v>
      </c>
      <c r="M137" s="251" t="str">
        <f>IF('Sortering af spørgsmål'!$C$19=Projektforudsætninger!$C$24,"","-")</f>
        <v>-</v>
      </c>
      <c r="N137" s="251" t="str">
        <f>IF('Sortering af spørgsmål'!$C$19=Projektforudsætninger!$C$25,"","-")</f>
        <v>-</v>
      </c>
      <c r="O137" s="251" t="str">
        <f>IF('Sortering af spørgsmål'!$C$19=Projektforudsætninger!$C$26,"","-")</f>
        <v>-</v>
      </c>
      <c r="P137" s="251" t="str">
        <f>IF('Sortering af spørgsmål'!$C$19=Projektforudsætninger!$C$19,"","-")</f>
        <v>-</v>
      </c>
      <c r="Q137" s="259"/>
    </row>
    <row r="138" spans="1:17" s="222" customFormat="1" ht="15" customHeight="1" x14ac:dyDescent="0.45">
      <c r="A138" s="788"/>
      <c r="B138" s="787"/>
      <c r="C138" s="779" t="str">
        <f>Arbejdsark!C260</f>
        <v>Pladskrav til cykelparkering</v>
      </c>
      <c r="D138" s="282">
        <f>Arbejdsark!O261</f>
        <v>1</v>
      </c>
      <c r="E138" s="282">
        <f>D138-D138</f>
        <v>0</v>
      </c>
      <c r="F138" s="282" t="str">
        <f>IF(Projektforudsætninger!B14="Ja",Arbejdsark!U261,"-")</f>
        <v>-</v>
      </c>
      <c r="G138" s="282" t="str">
        <f>IF(Projektforudsætninger!$B$14="Ja",F138-F138,"-")</f>
        <v>-</v>
      </c>
      <c r="H138" s="237" t="s">
        <v>498</v>
      </c>
      <c r="I138" s="249" t="str">
        <f>IF('Sortering af spørgsmål'!$C$19=Projektforudsætninger!$C$20,"","-")</f>
        <v>-</v>
      </c>
      <c r="J138" s="249" t="str">
        <f>IF('Sortering af spørgsmål'!$C$19=Projektforudsætninger!$C$21,"","-")</f>
        <v>-</v>
      </c>
      <c r="K138" s="249" t="str">
        <f>IF('Sortering af spørgsmål'!$C$19=Projektforudsætninger!$C$22,"","-")</f>
        <v>-</v>
      </c>
      <c r="L138" s="249" t="str">
        <f>IF('Sortering af spørgsmål'!$C$19=Projektforudsætninger!$C$23,"","-")</f>
        <v>-</v>
      </c>
      <c r="M138" s="249" t="str">
        <f>IF('Sortering af spørgsmål'!$C$19=Projektforudsætninger!$C$24,"","-")</f>
        <v>-</v>
      </c>
      <c r="N138" s="249" t="str">
        <f>IF('Sortering af spørgsmål'!$C$19=Projektforudsætninger!$C$25,"","-")</f>
        <v>-</v>
      </c>
      <c r="O138" s="249" t="str">
        <f>IF('Sortering af spørgsmål'!$C$19=Projektforudsætninger!$C$26,"","-")</f>
        <v>-</v>
      </c>
      <c r="P138" s="249" t="str">
        <f>IF('Sortering af spørgsmål'!$C$19=Projektforudsætninger!$C$19,"","-")</f>
        <v>-</v>
      </c>
      <c r="Q138" s="258"/>
    </row>
    <row r="139" spans="1:17" ht="15" customHeight="1" x14ac:dyDescent="0.45">
      <c r="A139" s="788"/>
      <c r="B139" s="787"/>
      <c r="C139" s="779"/>
      <c r="D139" s="283">
        <f>Arbejdsark!O262</f>
        <v>1</v>
      </c>
      <c r="E139" s="283">
        <f>D138-D139</f>
        <v>0</v>
      </c>
      <c r="F139" s="283" t="str">
        <f>IF(Projektforudsætninger!B14="Ja",Arbejdsark!U262,"-")</f>
        <v>-</v>
      </c>
      <c r="G139" s="283" t="str">
        <f>IF(Projektforudsætninger!$B$14="Ja",F138-F139,"-")</f>
        <v>-</v>
      </c>
      <c r="H139" s="239" t="s">
        <v>499</v>
      </c>
      <c r="I139" s="250" t="str">
        <f>IF('Sortering af spørgsmål'!$C$19=Projektforudsætninger!$C$20,"","-")</f>
        <v>-</v>
      </c>
      <c r="J139" s="250" t="str">
        <f>IF('Sortering af spørgsmål'!$C$19=Projektforudsætninger!$C$21,"","-")</f>
        <v>-</v>
      </c>
      <c r="K139" s="250" t="str">
        <f>IF('Sortering af spørgsmål'!$C$19=Projektforudsætninger!$C$22,"","-")</f>
        <v>-</v>
      </c>
      <c r="L139" s="250" t="str">
        <f>IF('Sortering af spørgsmål'!$C$19=Projektforudsætninger!$C$23,"","-")</f>
        <v>-</v>
      </c>
      <c r="M139" s="250" t="str">
        <f>IF('Sortering af spørgsmål'!$C$19=Projektforudsætninger!$C$24,"","-")</f>
        <v>-</v>
      </c>
      <c r="N139" s="250" t="str">
        <f>IF('Sortering af spørgsmål'!$C$19=Projektforudsætninger!$C$25,"","-")</f>
        <v>-</v>
      </c>
      <c r="O139" s="250" t="str">
        <f>IF('Sortering af spørgsmål'!$C$19=Projektforudsætninger!$C$26,"","-")</f>
        <v>-</v>
      </c>
      <c r="P139" s="250" t="str">
        <f>IF('Sortering af spørgsmål'!$C$19=Projektforudsætninger!$C$19,"","-")</f>
        <v>-</v>
      </c>
      <c r="Q139" s="259"/>
    </row>
    <row r="140" spans="1:17" ht="15" customHeight="1" x14ac:dyDescent="0.45">
      <c r="A140" s="788"/>
      <c r="B140" s="787"/>
      <c r="C140" s="779"/>
      <c r="D140" s="284">
        <f>Arbejdsark!O263</f>
        <v>0</v>
      </c>
      <c r="E140" s="284">
        <f>D138-D140</f>
        <v>1</v>
      </c>
      <c r="F140" s="284" t="str">
        <f>IF(Projektforudsætninger!B14="Ja",Arbejdsark!U263,"-")</f>
        <v>-</v>
      </c>
      <c r="G140" s="284" t="str">
        <f>IF(Projektforudsætninger!$B$14="Ja",F138-F140,"-")</f>
        <v>-</v>
      </c>
      <c r="H140" s="241" t="s">
        <v>495</v>
      </c>
      <c r="I140" s="251" t="str">
        <f>IF('Sortering af spørgsmål'!$C$19=Projektforudsætninger!$C$20,"","-")</f>
        <v>-</v>
      </c>
      <c r="J140" s="251" t="str">
        <f>IF('Sortering af spørgsmål'!$C$19=Projektforudsætninger!$C$21,"","-")</f>
        <v>-</v>
      </c>
      <c r="K140" s="251" t="str">
        <f>IF('Sortering af spørgsmål'!$C$19=Projektforudsætninger!$C$22,"","-")</f>
        <v>-</v>
      </c>
      <c r="L140" s="251" t="str">
        <f>IF('Sortering af spørgsmål'!$C$19=Projektforudsætninger!$C$23,"","-")</f>
        <v>-</v>
      </c>
      <c r="M140" s="251" t="str">
        <f>IF('Sortering af spørgsmål'!$C$19=Projektforudsætninger!$C$24,"","-")</f>
        <v>-</v>
      </c>
      <c r="N140" s="251" t="str">
        <f>IF('Sortering af spørgsmål'!$C$19=Projektforudsætninger!$C$25,"","-")</f>
        <v>-</v>
      </c>
      <c r="O140" s="251" t="str">
        <f>IF('Sortering af spørgsmål'!$C$19=Projektforudsætninger!$C$26,"","-")</f>
        <v>-</v>
      </c>
      <c r="P140" s="251" t="str">
        <f>IF('Sortering af spørgsmål'!$C$19=Projektforudsætninger!$C$19,"","-")</f>
        <v>-</v>
      </c>
      <c r="Q140" s="259"/>
    </row>
    <row r="141" spans="1:17" s="222" customFormat="1" ht="15" customHeight="1" x14ac:dyDescent="0.45">
      <c r="A141" s="788"/>
      <c r="B141" s="787" t="str">
        <f>Arbejdsark!A265</f>
        <v>Tryghed og sikkerhed</v>
      </c>
      <c r="C141" s="779" t="str">
        <f>Arbejdsark!C265</f>
        <v>Udendørs belysning</v>
      </c>
      <c r="D141" s="282">
        <f>Arbejdsark!O266</f>
        <v>1</v>
      </c>
      <c r="E141" s="282">
        <f>D141-D141</f>
        <v>0</v>
      </c>
      <c r="F141" s="282" t="str">
        <f>IF(Projektforudsætninger!B14="Ja",Arbejdsark!U266,"-")</f>
        <v>-</v>
      </c>
      <c r="G141" s="282" t="str">
        <f>IF(Projektforudsætninger!$B$14="Ja",F141-F141,"-")</f>
        <v>-</v>
      </c>
      <c r="H141" s="237" t="s">
        <v>498</v>
      </c>
      <c r="I141" s="249" t="str">
        <f>IF('Sortering af spørgsmål'!$C$20=Projektforudsætninger!$C$20,"","-")</f>
        <v>-</v>
      </c>
      <c r="J141" s="249" t="str">
        <f>IF('Sortering af spørgsmål'!$C$20=Projektforudsætninger!$C$21,"","-")</f>
        <v>-</v>
      </c>
      <c r="K141" s="249" t="str">
        <f>IF('Sortering af spørgsmål'!$C$20=Projektforudsætninger!$C$22,"","-")</f>
        <v>-</v>
      </c>
      <c r="L141" s="249" t="str">
        <f>IF('Sortering af spørgsmål'!$C$20=Projektforudsætninger!$C$23,"","-")</f>
        <v>-</v>
      </c>
      <c r="M141" s="249" t="str">
        <f>IF('Sortering af spørgsmål'!$C$20=Projektforudsætninger!$C$24,"","-")</f>
        <v>-</v>
      </c>
      <c r="N141" s="249" t="str">
        <f>IF('Sortering af spørgsmål'!$C$20=Projektforudsætninger!$C$25,"","-")</f>
        <v>-</v>
      </c>
      <c r="O141" s="249" t="str">
        <f>IF('Sortering af spørgsmål'!$C$20=Projektforudsætninger!$C$26,"","-")</f>
        <v>-</v>
      </c>
      <c r="P141" s="249" t="str">
        <f>IF('Sortering af spørgsmål'!$C$20=Projektforudsætninger!$C$19,"","-")</f>
        <v>-</v>
      </c>
      <c r="Q141" s="258"/>
    </row>
    <row r="142" spans="1:17" ht="15" customHeight="1" x14ac:dyDescent="0.45">
      <c r="A142" s="788"/>
      <c r="B142" s="787"/>
      <c r="C142" s="779"/>
      <c r="D142" s="283">
        <f>Arbejdsark!O267</f>
        <v>1</v>
      </c>
      <c r="E142" s="283">
        <v>0</v>
      </c>
      <c r="F142" s="283" t="str">
        <f>IF(Projektforudsætninger!B14="Ja",Arbejdsark!U267,"-")</f>
        <v>-</v>
      </c>
      <c r="G142" s="283" t="str">
        <f>IF(Projektforudsætninger!$B$14="Ja",F141-F142,"-")</f>
        <v>-</v>
      </c>
      <c r="H142" s="239" t="s">
        <v>499</v>
      </c>
      <c r="I142" s="250" t="str">
        <f>IF('Sortering af spørgsmål'!$C$20=Projektforudsætninger!$C$20,"","-")</f>
        <v>-</v>
      </c>
      <c r="J142" s="250" t="str">
        <f>IF('Sortering af spørgsmål'!$C$20=Projektforudsætninger!$C$21,"","-")</f>
        <v>-</v>
      </c>
      <c r="K142" s="250" t="str">
        <f>IF('Sortering af spørgsmål'!$C$20=Projektforudsætninger!$C$22,"","-")</f>
        <v>-</v>
      </c>
      <c r="L142" s="250" t="str">
        <f>IF('Sortering af spørgsmål'!$C$20=Projektforudsætninger!$C$23,"","-")</f>
        <v>-</v>
      </c>
      <c r="M142" s="250" t="str">
        <f>IF('Sortering af spørgsmål'!$C$20=Projektforudsætninger!$C$24,"","-")</f>
        <v>-</v>
      </c>
      <c r="N142" s="250" t="str">
        <f>IF('Sortering af spørgsmål'!$C$20=Projektforudsætninger!$C$25,"","-")</f>
        <v>-</v>
      </c>
      <c r="O142" s="250" t="str">
        <f>IF('Sortering af spørgsmål'!$C$20=Projektforudsætninger!$C$26,"","-")</f>
        <v>-</v>
      </c>
      <c r="P142" s="250" t="str">
        <f>IF('Sortering af spørgsmål'!$C$20=Projektforudsætninger!$C$19,"","-")</f>
        <v>-</v>
      </c>
      <c r="Q142" s="259"/>
    </row>
    <row r="143" spans="1:17" ht="15" customHeight="1" x14ac:dyDescent="0.45">
      <c r="A143" s="788"/>
      <c r="B143" s="787"/>
      <c r="C143" s="779"/>
      <c r="D143" s="284">
        <f>Arbejdsark!O268</f>
        <v>0</v>
      </c>
      <c r="E143" s="284">
        <f>D141-D143</f>
        <v>1</v>
      </c>
      <c r="F143" s="284" t="str">
        <f>IF(Projektforudsætninger!B14="Ja",Arbejdsark!U268,"-")</f>
        <v>-</v>
      </c>
      <c r="G143" s="284" t="str">
        <f>IF(Projektforudsætninger!$B$14="Ja",F141-F143,"-")</f>
        <v>-</v>
      </c>
      <c r="H143" s="241" t="s">
        <v>495</v>
      </c>
      <c r="I143" s="251" t="str">
        <f>IF('Sortering af spørgsmål'!$C$20=Projektforudsætninger!$C$20,"","-")</f>
        <v>-</v>
      </c>
      <c r="J143" s="251" t="str">
        <f>IF('Sortering af spørgsmål'!$C$20=Projektforudsætninger!$C$21,"","-")</f>
        <v>-</v>
      </c>
      <c r="K143" s="251" t="str">
        <f>IF('Sortering af spørgsmål'!$C$20=Projektforudsætninger!$C$22,"","-")</f>
        <v>-</v>
      </c>
      <c r="L143" s="251" t="str">
        <f>IF('Sortering af spørgsmål'!$C$20=Projektforudsætninger!$C$23,"","-")</f>
        <v>-</v>
      </c>
      <c r="M143" s="251" t="str">
        <f>IF('Sortering af spørgsmål'!$C$20=Projektforudsætninger!$C$24,"","-")</f>
        <v>-</v>
      </c>
      <c r="N143" s="251" t="str">
        <f>IF('Sortering af spørgsmål'!$C$20=Projektforudsætninger!$C$25,"","-")</f>
        <v>-</v>
      </c>
      <c r="O143" s="251" t="str">
        <f>IF('Sortering af spørgsmål'!$C$20=Projektforudsætninger!$C$26,"","-")</f>
        <v>-</v>
      </c>
      <c r="P143" s="251" t="str">
        <f>IF('Sortering af spørgsmål'!$C$20=Projektforudsætninger!$C$19,"","-")</f>
        <v>-</v>
      </c>
      <c r="Q143" s="259"/>
    </row>
    <row r="144" spans="1:17" s="222" customFormat="1" ht="15" customHeight="1" x14ac:dyDescent="0.45">
      <c r="A144" s="788"/>
      <c r="B144" s="787"/>
      <c r="C144" s="779" t="str">
        <f>Arbejdsark!C270</f>
        <v>Forebyggelse af uheld</v>
      </c>
      <c r="D144" s="282">
        <f>Arbejdsark!O271</f>
        <v>1</v>
      </c>
      <c r="E144" s="282">
        <f>D144-D144</f>
        <v>0</v>
      </c>
      <c r="F144" s="282" t="str">
        <f>IF(Projektforudsætninger!B14="Ja",Arbejdsark!U271,"-")</f>
        <v>-</v>
      </c>
      <c r="G144" s="282" t="str">
        <f>IF(Projektforudsætninger!$B$14="Ja",F144-F144,"-")</f>
        <v>-</v>
      </c>
      <c r="H144" s="237" t="s">
        <v>498</v>
      </c>
      <c r="I144" s="249" t="str">
        <f>IF('Sortering af spørgsmål'!$C$20=Projektforudsætninger!$C$20,"","-")</f>
        <v>-</v>
      </c>
      <c r="J144" s="249" t="str">
        <f>IF('Sortering af spørgsmål'!$C$20=Projektforudsætninger!$C$21,"","-")</f>
        <v>-</v>
      </c>
      <c r="K144" s="249" t="str">
        <f>IF('Sortering af spørgsmål'!$C$20=Projektforudsætninger!$C$22,"","-")</f>
        <v>-</v>
      </c>
      <c r="L144" s="249" t="str">
        <f>IF('Sortering af spørgsmål'!$C$20=Projektforudsætninger!$C$23,"","-")</f>
        <v>-</v>
      </c>
      <c r="M144" s="249" t="str">
        <f>IF('Sortering af spørgsmål'!$C$20=Projektforudsætninger!$C$24,"","-")</f>
        <v>-</v>
      </c>
      <c r="N144" s="249" t="str">
        <f>IF('Sortering af spørgsmål'!$C$20=Projektforudsætninger!$C$25,"","-")</f>
        <v>-</v>
      </c>
      <c r="O144" s="249" t="str">
        <f>IF('Sortering af spørgsmål'!$C$20=Projektforudsætninger!$C$26,"","-")</f>
        <v>-</v>
      </c>
      <c r="P144" s="249" t="str">
        <f>IF('Sortering af spørgsmål'!$C$20=Projektforudsætninger!$C$19,"","-")</f>
        <v>-</v>
      </c>
      <c r="Q144" s="258"/>
    </row>
    <row r="145" spans="1:17" ht="15" customHeight="1" x14ac:dyDescent="0.45">
      <c r="A145" s="788"/>
      <c r="B145" s="787"/>
      <c r="C145" s="779"/>
      <c r="D145" s="283">
        <f>Arbejdsark!O272</f>
        <v>1</v>
      </c>
      <c r="E145" s="283">
        <f>D144-D145</f>
        <v>0</v>
      </c>
      <c r="F145" s="283" t="str">
        <f>IF(Projektforudsætninger!B14="Ja",Arbejdsark!U272,"-")</f>
        <v>-</v>
      </c>
      <c r="G145" s="283" t="str">
        <f>IF(Projektforudsætninger!$B$14="Ja",F144-F145,"-")</f>
        <v>-</v>
      </c>
      <c r="H145" s="239" t="s">
        <v>499</v>
      </c>
      <c r="I145" s="250" t="str">
        <f>IF('Sortering af spørgsmål'!$C$20=Projektforudsætninger!$C$20,"","-")</f>
        <v>-</v>
      </c>
      <c r="J145" s="250" t="str">
        <f>IF('Sortering af spørgsmål'!$C$20=Projektforudsætninger!$C$21,"","-")</f>
        <v>-</v>
      </c>
      <c r="K145" s="250" t="str">
        <f>IF('Sortering af spørgsmål'!$C$20=Projektforudsætninger!$C$22,"","-")</f>
        <v>-</v>
      </c>
      <c r="L145" s="250" t="str">
        <f>IF('Sortering af spørgsmål'!$C$20=Projektforudsætninger!$C$23,"","-")</f>
        <v>-</v>
      </c>
      <c r="M145" s="250" t="str">
        <f>IF('Sortering af spørgsmål'!$C$20=Projektforudsætninger!$C$24,"","-")</f>
        <v>-</v>
      </c>
      <c r="N145" s="250" t="str">
        <f>IF('Sortering af spørgsmål'!$C$20=Projektforudsætninger!$C$25,"","-")</f>
        <v>-</v>
      </c>
      <c r="O145" s="250" t="str">
        <f>IF('Sortering af spørgsmål'!$C$20=Projektforudsætninger!$C$26,"","-")</f>
        <v>-</v>
      </c>
      <c r="P145" s="250" t="str">
        <f>IF('Sortering af spørgsmål'!$C$20=Projektforudsætninger!$C$19,"","-")</f>
        <v>-</v>
      </c>
      <c r="Q145" s="259"/>
    </row>
    <row r="146" spans="1:17" ht="15" customHeight="1" x14ac:dyDescent="0.45">
      <c r="A146" s="788"/>
      <c r="B146" s="787"/>
      <c r="C146" s="779"/>
      <c r="D146" s="284">
        <f>Arbejdsark!O273</f>
        <v>0</v>
      </c>
      <c r="E146" s="284">
        <f>D144-D146</f>
        <v>1</v>
      </c>
      <c r="F146" s="284" t="str">
        <f>IF(Projektforudsætninger!B14="Ja",Arbejdsark!U273,"-")</f>
        <v>-</v>
      </c>
      <c r="G146" s="284" t="str">
        <f>IF(Projektforudsætninger!$B$14="Ja",F144-F146,"-")</f>
        <v>-</v>
      </c>
      <c r="H146" s="241" t="s">
        <v>495</v>
      </c>
      <c r="I146" s="251" t="str">
        <f>IF('Sortering af spørgsmål'!$C$20=Projektforudsætninger!$C$20,"","-")</f>
        <v>-</v>
      </c>
      <c r="J146" s="251" t="str">
        <f>IF('Sortering af spørgsmål'!$C$20=Projektforudsætninger!$C$21,"","-")</f>
        <v>-</v>
      </c>
      <c r="K146" s="251" t="str">
        <f>IF('Sortering af spørgsmål'!$C$20=Projektforudsætninger!$C$22,"","-")</f>
        <v>-</v>
      </c>
      <c r="L146" s="251" t="str">
        <f>IF('Sortering af spørgsmål'!$C$20=Projektforudsætninger!$C$23,"","-")</f>
        <v>-</v>
      </c>
      <c r="M146" s="251" t="str">
        <f>IF('Sortering af spørgsmål'!$C$20=Projektforudsætninger!$C$24,"","-")</f>
        <v>-</v>
      </c>
      <c r="N146" s="251" t="str">
        <f>IF('Sortering af spørgsmål'!$C$20=Projektforudsætninger!$C$25,"","-")</f>
        <v>-</v>
      </c>
      <c r="O146" s="251" t="str">
        <f>IF('Sortering af spørgsmål'!$C$20=Projektforudsætninger!$C$26,"","-")</f>
        <v>-</v>
      </c>
      <c r="P146" s="251" t="str">
        <f>IF('Sortering af spørgsmål'!$C$20=Projektforudsætninger!$C$19,"","-")</f>
        <v>-</v>
      </c>
      <c r="Q146" s="259"/>
    </row>
    <row r="147" spans="1:17" s="222" customFormat="1" ht="15" customHeight="1" x14ac:dyDescent="0.45">
      <c r="A147" s="788"/>
      <c r="B147" s="787" t="str">
        <f>Arbejdsark!A279</f>
        <v>Arkitektonisk kvalitet</v>
      </c>
      <c r="C147" s="779" t="str">
        <f>Arbejdsark!C289</f>
        <v>Frihed i løsningsforslag (Ved totalentreprisekonkurrence)</v>
      </c>
      <c r="D147" s="282">
        <f>Arbejdsark!O290</f>
        <v>1</v>
      </c>
      <c r="E147" s="282">
        <f>D147-D147</f>
        <v>0</v>
      </c>
      <c r="F147" s="282" t="str">
        <f>IF(Projektforudsætninger!B14="Ja",Arbejdsark!U290,"-")</f>
        <v>-</v>
      </c>
      <c r="G147" s="282" t="str">
        <f>IF(Projektforudsætninger!$B$14="Ja",F147-F147,"-")</f>
        <v>-</v>
      </c>
      <c r="H147" s="237" t="s">
        <v>498</v>
      </c>
      <c r="I147" s="249" t="str">
        <f>IF('Sortering af spørgsmål'!$C$21=Projektforudsætninger!$C$20,"","-")</f>
        <v>-</v>
      </c>
      <c r="J147" s="249" t="str">
        <f>IF('Sortering af spørgsmål'!$C$21=Projektforudsætninger!$C$21,"","-")</f>
        <v>-</v>
      </c>
      <c r="K147" s="249" t="str">
        <f>IF('Sortering af spørgsmål'!$C$21=Projektforudsætninger!$C$22,"","-")</f>
        <v>-</v>
      </c>
      <c r="L147" s="249" t="str">
        <f>IF('Sortering af spørgsmål'!$C$21=Projektforudsætninger!$C$23,"","-")</f>
        <v>-</v>
      </c>
      <c r="M147" s="249" t="str">
        <f>IF('Sortering af spørgsmål'!$C$21=Projektforudsætninger!$C$24,"","-")</f>
        <v>-</v>
      </c>
      <c r="N147" s="249" t="str">
        <f>IF('Sortering af spørgsmål'!$C$21=Projektforudsætninger!$C$25,"","-")</f>
        <v>-</v>
      </c>
      <c r="O147" s="249" t="str">
        <f>IF('Sortering af spørgsmål'!$C$21=Projektforudsætninger!$C$26,"","-")</f>
        <v>-</v>
      </c>
      <c r="P147" s="249" t="str">
        <f>IF('Sortering af spørgsmål'!$C$21=Projektforudsætninger!$C$19,"","-")</f>
        <v>-</v>
      </c>
      <c r="Q147" s="258"/>
    </row>
    <row r="148" spans="1:17" ht="15" customHeight="1" x14ac:dyDescent="0.45">
      <c r="A148" s="788"/>
      <c r="B148" s="787"/>
      <c r="C148" s="779"/>
      <c r="D148" s="283">
        <f>Arbejdsark!O291</f>
        <v>0</v>
      </c>
      <c r="E148" s="283">
        <f>D147-D148</f>
        <v>1</v>
      </c>
      <c r="F148" s="283" t="str">
        <f>IF(Projektforudsætninger!B14="Ja",Arbejdsark!U291,"-")</f>
        <v>-</v>
      </c>
      <c r="G148" s="283" t="str">
        <f>IF(Projektforudsætninger!$B$14="Ja",F147-F148,"-")</f>
        <v>-</v>
      </c>
      <c r="H148" s="239" t="s">
        <v>499</v>
      </c>
      <c r="I148" s="250" t="str">
        <f>IF('Sortering af spørgsmål'!$C$21=Projektforudsætninger!$C$20,"","-")</f>
        <v>-</v>
      </c>
      <c r="J148" s="250" t="str">
        <f>IF('Sortering af spørgsmål'!$C$21=Projektforudsætninger!$C$21,"","-")</f>
        <v>-</v>
      </c>
      <c r="K148" s="250" t="str">
        <f>IF('Sortering af spørgsmål'!$C$21=Projektforudsætninger!$C$22,"","-")</f>
        <v>-</v>
      </c>
      <c r="L148" s="250" t="str">
        <f>IF('Sortering af spørgsmål'!$C$21=Projektforudsætninger!$C$23,"","-")</f>
        <v>-</v>
      </c>
      <c r="M148" s="250" t="str">
        <f>IF('Sortering af spørgsmål'!$C$21=Projektforudsætninger!$C$24,"","-")</f>
        <v>-</v>
      </c>
      <c r="N148" s="250" t="str">
        <f>IF('Sortering af spørgsmål'!$C$21=Projektforudsætninger!$C$25,"","-")</f>
        <v>-</v>
      </c>
      <c r="O148" s="250" t="str">
        <f>IF('Sortering af spørgsmål'!$C$21=Projektforudsætninger!$C$26,"","-")</f>
        <v>-</v>
      </c>
      <c r="P148" s="250" t="str">
        <f>IF('Sortering af spørgsmål'!$C$21=Projektforudsætninger!$C$19,"","-")</f>
        <v>-</v>
      </c>
      <c r="Q148" s="259"/>
    </row>
    <row r="149" spans="1:17" ht="15" customHeight="1" x14ac:dyDescent="0.45">
      <c r="A149" s="788"/>
      <c r="B149" s="787"/>
      <c r="C149" s="779"/>
      <c r="D149" s="284">
        <f>Arbejdsark!O292</f>
        <v>0</v>
      </c>
      <c r="E149" s="284">
        <f>D147-D149</f>
        <v>1</v>
      </c>
      <c r="F149" s="284" t="str">
        <f>IF(Projektforudsætninger!B14="Ja",Arbejdsark!U292,"-")</f>
        <v>-</v>
      </c>
      <c r="G149" s="284" t="str">
        <f>IF(Projektforudsætninger!$B$14="Ja",F147-F149,"-")</f>
        <v>-</v>
      </c>
      <c r="H149" s="241" t="s">
        <v>495</v>
      </c>
      <c r="I149" s="251" t="str">
        <f>IF('Sortering af spørgsmål'!$C$21=Projektforudsætninger!$C$20,"","-")</f>
        <v>-</v>
      </c>
      <c r="J149" s="251" t="str">
        <f>IF('Sortering af spørgsmål'!$C$21=Projektforudsætninger!$C$21,"","-")</f>
        <v>-</v>
      </c>
      <c r="K149" s="251" t="str">
        <f>IF('Sortering af spørgsmål'!$C$21=Projektforudsætninger!$C$22,"","-")</f>
        <v>-</v>
      </c>
      <c r="L149" s="251" t="str">
        <f>IF('Sortering af spørgsmål'!$C$21=Projektforudsætninger!$C$23,"","-")</f>
        <v>-</v>
      </c>
      <c r="M149" s="251" t="str">
        <f>IF('Sortering af spørgsmål'!$C$21=Projektforudsætninger!$C$24,"","-")</f>
        <v>-</v>
      </c>
      <c r="N149" s="251" t="str">
        <f>IF('Sortering af spørgsmål'!$C$21=Projektforudsætninger!$C$25,"","-")</f>
        <v>-</v>
      </c>
      <c r="O149" s="251" t="str">
        <f>IF('Sortering af spørgsmål'!$C$21=Projektforudsætninger!$C$26,"","-")</f>
        <v>-</v>
      </c>
      <c r="P149" s="251" t="str">
        <f>IF('Sortering af spørgsmål'!$C$21=Projektforudsætninger!$C$19,"","-")</f>
        <v>-</v>
      </c>
      <c r="Q149" s="259"/>
    </row>
    <row r="150" spans="1:17" s="222" customFormat="1" ht="15" customHeight="1" x14ac:dyDescent="0.45">
      <c r="A150" s="788"/>
      <c r="B150" s="787"/>
      <c r="C150" s="779" t="str">
        <f>Arbejdsark!C294</f>
        <v>Vægtning i udbud (Ved totalentreprisekonkurrence)</v>
      </c>
      <c r="D150" s="282">
        <f>Arbejdsark!O295</f>
        <v>1</v>
      </c>
      <c r="E150" s="282">
        <f>D150-D150</f>
        <v>0</v>
      </c>
      <c r="F150" s="282" t="str">
        <f>IF(Projektforudsætninger!B14="Ja",Arbejdsark!U295,"-")</f>
        <v>-</v>
      </c>
      <c r="G150" s="282" t="str">
        <f>IF(Projektforudsætninger!$B$14="Ja",F150-F150,"-")</f>
        <v>-</v>
      </c>
      <c r="H150" s="237" t="s">
        <v>498</v>
      </c>
      <c r="I150" s="249" t="str">
        <f>IF('Sortering af spørgsmål'!$C$21=Projektforudsætninger!$C$20,"","-")</f>
        <v>-</v>
      </c>
      <c r="J150" s="249" t="str">
        <f>IF('Sortering af spørgsmål'!$C$21=Projektforudsætninger!$C$21,"","-")</f>
        <v>-</v>
      </c>
      <c r="K150" s="249" t="str">
        <f>IF('Sortering af spørgsmål'!$C$21=Projektforudsætninger!$C$22,"","-")</f>
        <v>-</v>
      </c>
      <c r="L150" s="249" t="str">
        <f>IF('Sortering af spørgsmål'!$C$21=Projektforudsætninger!$C$23,"","-")</f>
        <v>-</v>
      </c>
      <c r="M150" s="249" t="str">
        <f>IF('Sortering af spørgsmål'!$C$21=Projektforudsætninger!$C$24,"","-")</f>
        <v>-</v>
      </c>
      <c r="N150" s="249" t="str">
        <f>IF('Sortering af spørgsmål'!$C$21=Projektforudsætninger!$C$25,"","-")</f>
        <v>-</v>
      </c>
      <c r="O150" s="249" t="str">
        <f>IF('Sortering af spørgsmål'!$C$21=Projektforudsætninger!$C$26,"","-")</f>
        <v>-</v>
      </c>
      <c r="P150" s="249" t="str">
        <f>IF('Sortering af spørgsmål'!$C$21=Projektforudsætninger!$C$19,"","-")</f>
        <v>-</v>
      </c>
      <c r="Q150" s="258"/>
    </row>
    <row r="151" spans="1:17" ht="15" customHeight="1" x14ac:dyDescent="0.45">
      <c r="A151" s="788"/>
      <c r="B151" s="787"/>
      <c r="C151" s="779"/>
      <c r="D151" s="283">
        <f>Arbejdsark!O296</f>
        <v>1</v>
      </c>
      <c r="E151" s="283">
        <f>D150-D151</f>
        <v>0</v>
      </c>
      <c r="F151" s="283" t="str">
        <f>IF(Projektforudsætninger!B14="Ja",Arbejdsark!U296,"-")</f>
        <v>-</v>
      </c>
      <c r="G151" s="283" t="str">
        <f>IF(Projektforudsætninger!$B$14="Ja",F150-F151,"-")</f>
        <v>-</v>
      </c>
      <c r="H151" s="239" t="s">
        <v>499</v>
      </c>
      <c r="I151" s="250" t="str">
        <f>IF('Sortering af spørgsmål'!$C$21=Projektforudsætninger!$C$20,"","-")</f>
        <v>-</v>
      </c>
      <c r="J151" s="250" t="str">
        <f>IF('Sortering af spørgsmål'!$C$21=Projektforudsætninger!$C$21,"","-")</f>
        <v>-</v>
      </c>
      <c r="K151" s="250" t="str">
        <f>IF('Sortering af spørgsmål'!$C$21=Projektforudsætninger!$C$22,"","-")</f>
        <v>-</v>
      </c>
      <c r="L151" s="250" t="str">
        <f>IF('Sortering af spørgsmål'!$C$21=Projektforudsætninger!$C$23,"","-")</f>
        <v>-</v>
      </c>
      <c r="M151" s="250" t="str">
        <f>IF('Sortering af spørgsmål'!$C$21=Projektforudsætninger!$C$24,"","-")</f>
        <v>-</v>
      </c>
      <c r="N151" s="250" t="str">
        <f>IF('Sortering af spørgsmål'!$C$21=Projektforudsætninger!$C$25,"","-")</f>
        <v>-</v>
      </c>
      <c r="O151" s="250" t="str">
        <f>IF('Sortering af spørgsmål'!$C$21=Projektforudsætninger!$C$26,"","-")</f>
        <v>-</v>
      </c>
      <c r="P151" s="250" t="str">
        <f>IF('Sortering af spørgsmål'!$C$21=Projektforudsætninger!$C$19,"","-")</f>
        <v>-</v>
      </c>
      <c r="Q151" s="259"/>
    </row>
    <row r="152" spans="1:17" ht="15" customHeight="1" x14ac:dyDescent="0.45">
      <c r="A152" s="788"/>
      <c r="B152" s="787"/>
      <c r="C152" s="779"/>
      <c r="D152" s="284">
        <f>Arbejdsark!O297</f>
        <v>0</v>
      </c>
      <c r="E152" s="284">
        <f>D150-D152</f>
        <v>1</v>
      </c>
      <c r="F152" s="284" t="str">
        <f>IF(Projektforudsætninger!B14="Ja",Arbejdsark!U297,"-")</f>
        <v>-</v>
      </c>
      <c r="G152" s="284" t="str">
        <f>IF(Projektforudsætninger!$B$14="Ja",F150-F152,"-")</f>
        <v>-</v>
      </c>
      <c r="H152" s="241" t="s">
        <v>495</v>
      </c>
      <c r="I152" s="251" t="str">
        <f>IF('Sortering af spørgsmål'!$C$21=Projektforudsætninger!$C$20,"","-")</f>
        <v>-</v>
      </c>
      <c r="J152" s="251" t="str">
        <f>IF('Sortering af spørgsmål'!$C$21=Projektforudsætninger!$C$21,"","-")</f>
        <v>-</v>
      </c>
      <c r="K152" s="251" t="str">
        <f>IF('Sortering af spørgsmål'!$C$21=Projektforudsætninger!$C$22,"","-")</f>
        <v>-</v>
      </c>
      <c r="L152" s="251" t="str">
        <f>IF('Sortering af spørgsmål'!$C$21=Projektforudsætninger!$C$23,"","-")</f>
        <v>-</v>
      </c>
      <c r="M152" s="251" t="str">
        <f>IF('Sortering af spørgsmål'!$C$21=Projektforudsætninger!$C$24,"","-")</f>
        <v>-</v>
      </c>
      <c r="N152" s="251" t="str">
        <f>IF('Sortering af spørgsmål'!$C$21=Projektforudsætninger!$C$25,"","-")</f>
        <v>-</v>
      </c>
      <c r="O152" s="251" t="str">
        <f>IF('Sortering af spørgsmål'!$C$21=Projektforudsætninger!$C$26,"","-")</f>
        <v>-</v>
      </c>
      <c r="P152" s="251" t="str">
        <f>IF('Sortering af spørgsmål'!$C$21=Projektforudsætninger!$C$19,"","-")</f>
        <v>-</v>
      </c>
      <c r="Q152" s="259"/>
    </row>
    <row r="153" spans="1:17" s="222" customFormat="1" ht="15" customHeight="1" x14ac:dyDescent="0.45">
      <c r="A153" s="788"/>
      <c r="B153" s="780" t="str">
        <f>Arbejdsark!A300</f>
        <v>Plandisponering</v>
      </c>
      <c r="C153" s="779" t="str">
        <f>Arbejdsark!C300</f>
        <v xml:space="preserve">Ejerforhold og boligtyper </v>
      </c>
      <c r="D153" s="282">
        <f>Arbejdsark!O301</f>
        <v>1</v>
      </c>
      <c r="E153" s="282">
        <f>D153-D153</f>
        <v>0</v>
      </c>
      <c r="F153" s="282" t="str">
        <f>IF(Projektforudsætninger!B14="Ja",Arbejdsark!U301,"-")</f>
        <v>-</v>
      </c>
      <c r="G153" s="282" t="str">
        <f>IF(Projektforudsætninger!$B$14="Ja",F153-F153,"-")</f>
        <v>-</v>
      </c>
      <c r="H153" s="237" t="s">
        <v>498</v>
      </c>
      <c r="I153" s="249" t="str">
        <f>IF('Sortering af spørgsmål'!$C$22=Projektforudsætninger!$C$20,"","-")</f>
        <v>-</v>
      </c>
      <c r="J153" s="249" t="str">
        <f>IF('Sortering af spørgsmål'!$C$22=Projektforudsætninger!$C$21,"","-")</f>
        <v>-</v>
      </c>
      <c r="K153" s="249" t="str">
        <f>IF('Sortering af spørgsmål'!$C$22=Projektforudsætninger!$C$22,"","-")</f>
        <v>-</v>
      </c>
      <c r="L153" s="249" t="str">
        <f>IF('Sortering af spørgsmål'!$C$22=Projektforudsætninger!$C$23,"","-")</f>
        <v>-</v>
      </c>
      <c r="M153" s="249" t="str">
        <f>IF('Sortering af spørgsmål'!$C$22=Projektforudsætninger!$C$24,"","-")</f>
        <v>-</v>
      </c>
      <c r="N153" s="249" t="str">
        <f>IF('Sortering af spørgsmål'!$C$22=Projektforudsætninger!$C$25,"","-")</f>
        <v>-</v>
      </c>
      <c r="O153" s="249" t="str">
        <f>IF('Sortering af spørgsmål'!$C$22=Projektforudsætninger!$C$26,"","-")</f>
        <v>-</v>
      </c>
      <c r="P153" s="249" t="str">
        <f>IF('Sortering af spørgsmål'!$C$22=Projektforudsætninger!$C$19,"","-")</f>
        <v>-</v>
      </c>
      <c r="Q153" s="258"/>
    </row>
    <row r="154" spans="1:17" ht="15" customHeight="1" x14ac:dyDescent="0.45">
      <c r="A154" s="788"/>
      <c r="B154" s="781"/>
      <c r="C154" s="779"/>
      <c r="D154" s="283">
        <f>Arbejdsark!O302</f>
        <v>1</v>
      </c>
      <c r="E154" s="283">
        <v>0</v>
      </c>
      <c r="F154" s="283" t="str">
        <f>IF(Projektforudsætninger!B14="Ja",Arbejdsark!U302,"-")</f>
        <v>-</v>
      </c>
      <c r="G154" s="283" t="str">
        <f>IF(Projektforudsætninger!$B$14="Ja",F153-F154,"-")</f>
        <v>-</v>
      </c>
      <c r="H154" s="239" t="s">
        <v>499</v>
      </c>
      <c r="I154" s="250" t="str">
        <f>IF('Sortering af spørgsmål'!$C$22=Projektforudsætninger!$C$20,"","-")</f>
        <v>-</v>
      </c>
      <c r="J154" s="250" t="str">
        <f>IF('Sortering af spørgsmål'!$C$22=Projektforudsætninger!$C$21,"","-")</f>
        <v>-</v>
      </c>
      <c r="K154" s="250" t="str">
        <f>IF('Sortering af spørgsmål'!$C$22=Projektforudsætninger!$C$22,"","-")</f>
        <v>-</v>
      </c>
      <c r="L154" s="250" t="str">
        <f>IF('Sortering af spørgsmål'!$C$22=Projektforudsætninger!$C$23,"","-")</f>
        <v>-</v>
      </c>
      <c r="M154" s="250" t="str">
        <f>IF('Sortering af spørgsmål'!$C$22=Projektforudsætninger!$C$24,"","-")</f>
        <v>-</v>
      </c>
      <c r="N154" s="250" t="str">
        <f>IF('Sortering af spørgsmål'!$C$22=Projektforudsætninger!$C$25,"","-")</f>
        <v>-</v>
      </c>
      <c r="O154" s="250" t="str">
        <f>IF('Sortering af spørgsmål'!$C$22=Projektforudsætninger!$C$26,"","-")</f>
        <v>-</v>
      </c>
      <c r="P154" s="250" t="str">
        <f>IF('Sortering af spørgsmål'!$C$22=Projektforudsætninger!$C$19,"","-")</f>
        <v>-</v>
      </c>
      <c r="Q154" s="259"/>
    </row>
    <row r="155" spans="1:17" ht="15" customHeight="1" x14ac:dyDescent="0.45">
      <c r="A155" s="788"/>
      <c r="B155" s="781"/>
      <c r="C155" s="779"/>
      <c r="D155" s="284">
        <f>Arbejdsark!O303</f>
        <v>0</v>
      </c>
      <c r="E155" s="284">
        <f>D153-D155</f>
        <v>1</v>
      </c>
      <c r="F155" s="284" t="str">
        <f>IF(Projektforudsætninger!B14="Ja",Arbejdsark!U303,"-")</f>
        <v>-</v>
      </c>
      <c r="G155" s="284" t="str">
        <f>IF(Projektforudsætninger!$B$14="Ja",F153-F155,"-")</f>
        <v>-</v>
      </c>
      <c r="H155" s="241" t="s">
        <v>495</v>
      </c>
      <c r="I155" s="251" t="str">
        <f>IF('Sortering af spørgsmål'!$C$22=Projektforudsætninger!$C$20,"","-")</f>
        <v>-</v>
      </c>
      <c r="J155" s="251" t="str">
        <f>IF('Sortering af spørgsmål'!$C$22=Projektforudsætninger!$C$21,"","-")</f>
        <v>-</v>
      </c>
      <c r="K155" s="251" t="str">
        <f>IF('Sortering af spørgsmål'!$C$22=Projektforudsætninger!$C$22,"","-")</f>
        <v>-</v>
      </c>
      <c r="L155" s="251" t="str">
        <f>IF('Sortering af spørgsmål'!$C$22=Projektforudsætninger!$C$23,"","-")</f>
        <v>-</v>
      </c>
      <c r="M155" s="251" t="str">
        <f>IF('Sortering af spørgsmål'!$C$22=Projektforudsætninger!$C$24,"","-")</f>
        <v>-</v>
      </c>
      <c r="N155" s="251" t="str">
        <f>IF('Sortering af spørgsmål'!$C$22=Projektforudsætninger!$C$25,"","-")</f>
        <v>-</v>
      </c>
      <c r="O155" s="251" t="str">
        <f>IF('Sortering af spørgsmål'!$C$22=Projektforudsætninger!$C$26,"","-")</f>
        <v>-</v>
      </c>
      <c r="P155" s="251" t="str">
        <f>IF('Sortering af spørgsmål'!$C$22=Projektforudsætninger!$C$19,"","-")</f>
        <v>-</v>
      </c>
      <c r="Q155" s="259"/>
    </row>
    <row r="156" spans="1:17" s="222" customFormat="1" ht="15" customHeight="1" x14ac:dyDescent="0.45">
      <c r="A156" s="788"/>
      <c r="B156" s="781"/>
      <c r="C156" s="779" t="str">
        <f>Arbejdsark!C306</f>
        <v>Fællesområder</v>
      </c>
      <c r="D156" s="282">
        <f>Arbejdsark!O307</f>
        <v>1</v>
      </c>
      <c r="E156" s="282">
        <f>D156-D156</f>
        <v>0</v>
      </c>
      <c r="F156" s="282" t="str">
        <f>IF(Projektforudsætninger!B14="Ja",Arbejdsark!U307,"-")</f>
        <v>-</v>
      </c>
      <c r="G156" s="282" t="str">
        <f>IF(Projektforudsætninger!$B$14="Ja",F156-F156,"-")</f>
        <v>-</v>
      </c>
      <c r="H156" s="237" t="s">
        <v>498</v>
      </c>
      <c r="I156" s="249" t="str">
        <f>IF('Sortering af spørgsmål'!$C$22=Projektforudsætninger!$C$20,"","-")</f>
        <v>-</v>
      </c>
      <c r="J156" s="249" t="str">
        <f>IF('Sortering af spørgsmål'!$C$22=Projektforudsætninger!$C$21,"","-")</f>
        <v>-</v>
      </c>
      <c r="K156" s="249" t="str">
        <f>IF('Sortering af spørgsmål'!$C$22=Projektforudsætninger!$C$22,"","-")</f>
        <v>-</v>
      </c>
      <c r="L156" s="249" t="str">
        <f>IF('Sortering af spørgsmål'!$C$22=Projektforudsætninger!$C$23,"","-")</f>
        <v>-</v>
      </c>
      <c r="M156" s="249" t="str">
        <f>IF('Sortering af spørgsmål'!$C$22=Projektforudsætninger!$C$24,"","-")</f>
        <v>-</v>
      </c>
      <c r="N156" s="249" t="str">
        <f>IF('Sortering af spørgsmål'!$C$22=Projektforudsætninger!$C$25,"","-")</f>
        <v>-</v>
      </c>
      <c r="O156" s="249" t="str">
        <f>IF('Sortering af spørgsmål'!$C$22=Projektforudsætninger!$C$26,"","-")</f>
        <v>-</v>
      </c>
      <c r="P156" s="249" t="str">
        <f>IF('Sortering af spørgsmål'!$C$22=Projektforudsætninger!$C$19,"","-")</f>
        <v>-</v>
      </c>
      <c r="Q156" s="258"/>
    </row>
    <row r="157" spans="1:17" ht="15" customHeight="1" x14ac:dyDescent="0.45">
      <c r="A157" s="788"/>
      <c r="B157" s="781"/>
      <c r="C157" s="779"/>
      <c r="D157" s="283">
        <f>Arbejdsark!O308</f>
        <v>1</v>
      </c>
      <c r="E157" s="283">
        <v>0</v>
      </c>
      <c r="F157" s="283" t="str">
        <f>IF(Projektforudsætninger!B14="Ja",Arbejdsark!U308,"-")</f>
        <v>-</v>
      </c>
      <c r="G157" s="283" t="str">
        <f>IF(Projektforudsætninger!$B$14="Ja",F156-F157,"-")</f>
        <v>-</v>
      </c>
      <c r="H157" s="239" t="s">
        <v>499</v>
      </c>
      <c r="I157" s="250" t="str">
        <f>IF('Sortering af spørgsmål'!$C$22=Projektforudsætninger!$C$20,"","-")</f>
        <v>-</v>
      </c>
      <c r="J157" s="250" t="str">
        <f>IF('Sortering af spørgsmål'!$C$22=Projektforudsætninger!$C$21,"","-")</f>
        <v>-</v>
      </c>
      <c r="K157" s="250" t="str">
        <f>IF('Sortering af spørgsmål'!$C$22=Projektforudsætninger!$C$22,"","-")</f>
        <v>-</v>
      </c>
      <c r="L157" s="250" t="str">
        <f>IF('Sortering af spørgsmål'!$C$22=Projektforudsætninger!$C$23,"","-")</f>
        <v>-</v>
      </c>
      <c r="M157" s="250" t="str">
        <f>IF('Sortering af spørgsmål'!$C$22=Projektforudsætninger!$C$24,"","-")</f>
        <v>-</v>
      </c>
      <c r="N157" s="250" t="str">
        <f>IF('Sortering af spørgsmål'!$C$22=Projektforudsætninger!$C$25,"","-")</f>
        <v>-</v>
      </c>
      <c r="O157" s="250" t="str">
        <f>IF('Sortering af spørgsmål'!$C$22=Projektforudsætninger!$C$26,"","-")</f>
        <v>-</v>
      </c>
      <c r="P157" s="250" t="str">
        <f>IF('Sortering af spørgsmål'!$C$22=Projektforudsætninger!$C$19,"","-")</f>
        <v>-</v>
      </c>
      <c r="Q157" s="259"/>
    </row>
    <row r="158" spans="1:17" ht="15" customHeight="1" x14ac:dyDescent="0.45">
      <c r="A158" s="788"/>
      <c r="B158" s="781"/>
      <c r="C158" s="779"/>
      <c r="D158" s="284">
        <f>Arbejdsark!O309</f>
        <v>0</v>
      </c>
      <c r="E158" s="284">
        <f>D156-D158</f>
        <v>1</v>
      </c>
      <c r="F158" s="284" t="str">
        <f>IF(Projektforudsætninger!B14="Ja",Arbejdsark!U309,"-")</f>
        <v>-</v>
      </c>
      <c r="G158" s="284" t="str">
        <f>IF(Projektforudsætninger!$B$14="Ja",F156-F158,"-")</f>
        <v>-</v>
      </c>
      <c r="H158" s="241" t="s">
        <v>495</v>
      </c>
      <c r="I158" s="251" t="str">
        <f>IF('Sortering af spørgsmål'!$C$22=Projektforudsætninger!$C$20,"","-")</f>
        <v>-</v>
      </c>
      <c r="J158" s="251" t="str">
        <f>IF('Sortering af spørgsmål'!$C$22=Projektforudsætninger!$C$21,"","-")</f>
        <v>-</v>
      </c>
      <c r="K158" s="251" t="str">
        <f>IF('Sortering af spørgsmål'!$C$22=Projektforudsætninger!$C$22,"","-")</f>
        <v>-</v>
      </c>
      <c r="L158" s="251" t="str">
        <f>IF('Sortering af spørgsmål'!$C$22=Projektforudsætninger!$C$23,"","-")</f>
        <v>-</v>
      </c>
      <c r="M158" s="251" t="str">
        <f>IF('Sortering af spørgsmål'!$C$22=Projektforudsætninger!$C$24,"","-")</f>
        <v>-</v>
      </c>
      <c r="N158" s="251" t="str">
        <f>IF('Sortering af spørgsmål'!$C$22=Projektforudsætninger!$C$25,"","-")</f>
        <v>-</v>
      </c>
      <c r="O158" s="251" t="str">
        <f>IF('Sortering af spørgsmål'!$C$22=Projektforudsætninger!$C$26,"","-")</f>
        <v>-</v>
      </c>
      <c r="P158" s="251" t="str">
        <f>IF('Sortering af spørgsmål'!$C$22=Projektforudsætninger!$C$19,"","-")</f>
        <v>-</v>
      </c>
      <c r="Q158" s="259"/>
    </row>
    <row r="159" spans="1:17" s="222" customFormat="1" ht="15" customHeight="1" x14ac:dyDescent="0.45">
      <c r="A159" s="788"/>
      <c r="B159" s="781"/>
      <c r="C159" s="779" t="str">
        <f>Arbejdsark!C311</f>
        <v>Adgangszoner/entréområder</v>
      </c>
      <c r="D159" s="282">
        <f>Arbejdsark!O312</f>
        <v>1</v>
      </c>
      <c r="E159" s="282">
        <f>D159-D159</f>
        <v>0</v>
      </c>
      <c r="F159" s="282" t="str">
        <f>IF(Projektforudsætninger!B14="Ja",Arbejdsark!U312,"-")</f>
        <v>-</v>
      </c>
      <c r="G159" s="282" t="str">
        <f>IF(Projektforudsætninger!$B$14="Ja",F159-F159,"-")</f>
        <v>-</v>
      </c>
      <c r="H159" s="237" t="s">
        <v>498</v>
      </c>
      <c r="I159" s="249" t="str">
        <f>IF('Sortering af spørgsmål'!$C$22=Projektforudsætninger!$C$20,"","-")</f>
        <v>-</v>
      </c>
      <c r="J159" s="249" t="str">
        <f>IF('Sortering af spørgsmål'!$C$22=Projektforudsætninger!$C$21,"","-")</f>
        <v>-</v>
      </c>
      <c r="K159" s="249" t="str">
        <f>IF('Sortering af spørgsmål'!$C$22=Projektforudsætninger!$C$22,"","-")</f>
        <v>-</v>
      </c>
      <c r="L159" s="249" t="str">
        <f>IF('Sortering af spørgsmål'!$C$22=Projektforudsætninger!$C$23,"","-")</f>
        <v>-</v>
      </c>
      <c r="M159" s="249" t="str">
        <f>IF('Sortering af spørgsmål'!$C$22=Projektforudsætninger!$C$24,"","-")</f>
        <v>-</v>
      </c>
      <c r="N159" s="249" t="str">
        <f>IF('Sortering af spørgsmål'!$C$22=Projektforudsætninger!$C$25,"","-")</f>
        <v>-</v>
      </c>
      <c r="O159" s="249" t="str">
        <f>IF('Sortering af spørgsmål'!$C$22=Projektforudsætninger!$C$26,"","-")</f>
        <v>-</v>
      </c>
      <c r="P159" s="249" t="str">
        <f>IF('Sortering af spørgsmål'!$C$22=Projektforudsætninger!$C$19,"","-")</f>
        <v>-</v>
      </c>
      <c r="Q159" s="258"/>
    </row>
    <row r="160" spans="1:17" ht="15" customHeight="1" x14ac:dyDescent="0.45">
      <c r="A160" s="788"/>
      <c r="B160" s="781"/>
      <c r="C160" s="779"/>
      <c r="D160" s="283">
        <f>Arbejdsark!O313</f>
        <v>1</v>
      </c>
      <c r="E160" s="283">
        <v>0</v>
      </c>
      <c r="F160" s="283" t="str">
        <f>IF(Projektforudsætninger!B14="Ja",Arbejdsark!U313,"-")</f>
        <v>-</v>
      </c>
      <c r="G160" s="283" t="str">
        <f>IF(Projektforudsætninger!$B$14="Ja",F159-F160,"-")</f>
        <v>-</v>
      </c>
      <c r="H160" s="239" t="s">
        <v>499</v>
      </c>
      <c r="I160" s="250" t="str">
        <f>IF('Sortering af spørgsmål'!$C$22=Projektforudsætninger!$C$20,"","-")</f>
        <v>-</v>
      </c>
      <c r="J160" s="250" t="str">
        <f>IF('Sortering af spørgsmål'!$C$22=Projektforudsætninger!$C$21,"","-")</f>
        <v>-</v>
      </c>
      <c r="K160" s="250" t="str">
        <f>IF('Sortering af spørgsmål'!$C$22=Projektforudsætninger!$C$22,"","-")</f>
        <v>-</v>
      </c>
      <c r="L160" s="250" t="str">
        <f>IF('Sortering af spørgsmål'!$C$22=Projektforudsætninger!$C$23,"","-")</f>
        <v>-</v>
      </c>
      <c r="M160" s="250" t="str">
        <f>IF('Sortering af spørgsmål'!$C$22=Projektforudsætninger!$C$24,"","-")</f>
        <v>-</v>
      </c>
      <c r="N160" s="250" t="str">
        <f>IF('Sortering af spørgsmål'!$C$22=Projektforudsætninger!$C$25,"","-")</f>
        <v>-</v>
      </c>
      <c r="O160" s="250" t="str">
        <f>IF('Sortering af spørgsmål'!$C$22=Projektforudsætninger!$C$26,"","-")</f>
        <v>-</v>
      </c>
      <c r="P160" s="250" t="str">
        <f>IF('Sortering af spørgsmål'!$C$22=Projektforudsætninger!$C$19,"","-")</f>
        <v>-</v>
      </c>
      <c r="Q160" s="259"/>
    </row>
    <row r="161" spans="1:17" ht="15" customHeight="1" x14ac:dyDescent="0.45">
      <c r="A161" s="788"/>
      <c r="B161" s="781"/>
      <c r="C161" s="779"/>
      <c r="D161" s="284">
        <f>Arbejdsark!O314</f>
        <v>0</v>
      </c>
      <c r="E161" s="284">
        <f>D159-D161</f>
        <v>1</v>
      </c>
      <c r="F161" s="284" t="str">
        <f>IF(Projektforudsætninger!B14="Ja",Arbejdsark!U314,"-")</f>
        <v>-</v>
      </c>
      <c r="G161" s="284" t="str">
        <f>IF(Projektforudsætninger!$B$14="Ja",F159-F161,"-")</f>
        <v>-</v>
      </c>
      <c r="H161" s="241" t="s">
        <v>495</v>
      </c>
      <c r="I161" s="251" t="str">
        <f>IF('Sortering af spørgsmål'!$C$22=Projektforudsætninger!$C$20,"","-")</f>
        <v>-</v>
      </c>
      <c r="J161" s="251" t="str">
        <f>IF('Sortering af spørgsmål'!$C$22=Projektforudsætninger!$C$21,"","-")</f>
        <v>-</v>
      </c>
      <c r="K161" s="251" t="str">
        <f>IF('Sortering af spørgsmål'!$C$22=Projektforudsætninger!$C$22,"","-")</f>
        <v>-</v>
      </c>
      <c r="L161" s="251" t="str">
        <f>IF('Sortering af spørgsmål'!$C$22=Projektforudsætninger!$C$23,"","-")</f>
        <v>-</v>
      </c>
      <c r="M161" s="251" t="str">
        <f>IF('Sortering af spørgsmål'!$C$22=Projektforudsætninger!$C$24,"","-")</f>
        <v>-</v>
      </c>
      <c r="N161" s="251" t="str">
        <f>IF('Sortering af spørgsmål'!$C$22=Projektforudsætninger!$C$25,"","-")</f>
        <v>-</v>
      </c>
      <c r="O161" s="251" t="str">
        <f>IF('Sortering af spørgsmål'!$C$22=Projektforudsætninger!$C$26,"","-")</f>
        <v>-</v>
      </c>
      <c r="P161" s="251" t="str">
        <f>IF('Sortering af spørgsmål'!$C$22=Projektforudsætninger!$C$19,"","-")</f>
        <v>-</v>
      </c>
      <c r="Q161" s="259"/>
    </row>
    <row r="162" spans="1:17" s="222" customFormat="1" ht="15" customHeight="1" x14ac:dyDescent="0.45">
      <c r="A162" s="788"/>
      <c r="B162" s="781"/>
      <c r="C162" s="779" t="str">
        <f>Arbejdsark!C316</f>
        <v xml:space="preserve">Udlån af lokaler </v>
      </c>
      <c r="D162" s="282">
        <f>Arbejdsark!O317</f>
        <v>1</v>
      </c>
      <c r="E162" s="282">
        <f>D162-D162</f>
        <v>0</v>
      </c>
      <c r="F162" s="282" t="str">
        <f>IF(Projektforudsætninger!B14="Ja",Arbejdsark!U317,"-")</f>
        <v>-</v>
      </c>
      <c r="G162" s="282" t="str">
        <f>IF(Projektforudsætninger!$B$14="Ja",F162-F162,"-")</f>
        <v>-</v>
      </c>
      <c r="H162" s="237" t="s">
        <v>498</v>
      </c>
      <c r="I162" s="249" t="str">
        <f>IF('Sortering af spørgsmål'!$C$22=Projektforudsætninger!$C$20,"","-")</f>
        <v>-</v>
      </c>
      <c r="J162" s="249" t="str">
        <f>IF('Sortering af spørgsmål'!$C$22=Projektforudsætninger!$C$21,"","-")</f>
        <v>-</v>
      </c>
      <c r="K162" s="249" t="str">
        <f>IF('Sortering af spørgsmål'!$C$22=Projektforudsætninger!$C$22,"","-")</f>
        <v>-</v>
      </c>
      <c r="L162" s="249" t="str">
        <f>IF('Sortering af spørgsmål'!$C$22=Projektforudsætninger!$C$23,"","-")</f>
        <v>-</v>
      </c>
      <c r="M162" s="249" t="str">
        <f>IF('Sortering af spørgsmål'!$C$22=Projektforudsætninger!$C$24,"","-")</f>
        <v>-</v>
      </c>
      <c r="N162" s="249" t="str">
        <f>IF('Sortering af spørgsmål'!$C$22=Projektforudsætninger!$C$25,"","-")</f>
        <v>-</v>
      </c>
      <c r="O162" s="249" t="str">
        <f>IF('Sortering af spørgsmål'!$C$22=Projektforudsætninger!$C$26,"","-")</f>
        <v>-</v>
      </c>
      <c r="P162" s="249" t="str">
        <f>IF('Sortering af spørgsmål'!$C$22=Projektforudsætninger!$C$19,"","-")</f>
        <v>-</v>
      </c>
      <c r="Q162" s="258"/>
    </row>
    <row r="163" spans="1:17" ht="15" customHeight="1" x14ac:dyDescent="0.45">
      <c r="A163" s="788"/>
      <c r="B163" s="781"/>
      <c r="C163" s="779"/>
      <c r="D163" s="283">
        <f>Arbejdsark!O318</f>
        <v>1</v>
      </c>
      <c r="E163" s="283">
        <v>0</v>
      </c>
      <c r="F163" s="283" t="str">
        <f>IF(Projektforudsætninger!B14="Ja",Arbejdsark!U318,"-")</f>
        <v>-</v>
      </c>
      <c r="G163" s="283" t="str">
        <f>IF(Projektforudsætninger!$B$14="Ja",F162-F163,"-")</f>
        <v>-</v>
      </c>
      <c r="H163" s="239" t="s">
        <v>499</v>
      </c>
      <c r="I163" s="250" t="str">
        <f>IF('Sortering af spørgsmål'!$C$22=Projektforudsætninger!$C$20,"","-")</f>
        <v>-</v>
      </c>
      <c r="J163" s="250" t="str">
        <f>IF('Sortering af spørgsmål'!$C$22=Projektforudsætninger!$C$21,"","-")</f>
        <v>-</v>
      </c>
      <c r="K163" s="250" t="str">
        <f>IF('Sortering af spørgsmål'!$C$22=Projektforudsætninger!$C$22,"","-")</f>
        <v>-</v>
      </c>
      <c r="L163" s="250" t="str">
        <f>IF('Sortering af spørgsmål'!$C$22=Projektforudsætninger!$C$23,"","-")</f>
        <v>-</v>
      </c>
      <c r="M163" s="250" t="str">
        <f>IF('Sortering af spørgsmål'!$C$22=Projektforudsætninger!$C$24,"","-")</f>
        <v>-</v>
      </c>
      <c r="N163" s="250" t="str">
        <f>IF('Sortering af spørgsmål'!$C$22=Projektforudsætninger!$C$25,"","-")</f>
        <v>-</v>
      </c>
      <c r="O163" s="250" t="str">
        <f>IF('Sortering af spørgsmål'!$C$22=Projektforudsætninger!$C$26,"","-")</f>
        <v>-</v>
      </c>
      <c r="P163" s="250" t="str">
        <f>IF('Sortering af spørgsmål'!$C$22=Projektforudsætninger!$C$19,"","-")</f>
        <v>-</v>
      </c>
      <c r="Q163" s="259"/>
    </row>
    <row r="164" spans="1:17" ht="15" customHeight="1" x14ac:dyDescent="0.45">
      <c r="A164" s="788"/>
      <c r="B164" s="781"/>
      <c r="C164" s="779"/>
      <c r="D164" s="284">
        <f>Arbejdsark!O319</f>
        <v>0</v>
      </c>
      <c r="E164" s="284">
        <f>D162-D164</f>
        <v>1</v>
      </c>
      <c r="F164" s="284" t="str">
        <f>IF(Projektforudsætninger!B14="Ja",Arbejdsark!U319,"-")</f>
        <v>-</v>
      </c>
      <c r="G164" s="284" t="str">
        <f>IF(Projektforudsætninger!$B$14="Ja",F162-F164,"-")</f>
        <v>-</v>
      </c>
      <c r="H164" s="241" t="s">
        <v>495</v>
      </c>
      <c r="I164" s="251" t="str">
        <f>IF('Sortering af spørgsmål'!$C$22=Projektforudsætninger!$C$20,"","-")</f>
        <v>-</v>
      </c>
      <c r="J164" s="251" t="str">
        <f>IF('Sortering af spørgsmål'!$C$22=Projektforudsætninger!$C$21,"","-")</f>
        <v>-</v>
      </c>
      <c r="K164" s="251" t="str">
        <f>IF('Sortering af spørgsmål'!$C$22=Projektforudsætninger!$C$22,"","-")</f>
        <v>-</v>
      </c>
      <c r="L164" s="251" t="str">
        <f>IF('Sortering af spørgsmål'!$C$22=Projektforudsætninger!$C$23,"","-")</f>
        <v>-</v>
      </c>
      <c r="M164" s="251" t="str">
        <f>IF('Sortering af spørgsmål'!$C$22=Projektforudsætninger!$C$24,"","-")</f>
        <v>-</v>
      </c>
      <c r="N164" s="251" t="str">
        <f>IF('Sortering af spørgsmål'!$C$22=Projektforudsætninger!$C$25,"","-")</f>
        <v>-</v>
      </c>
      <c r="O164" s="251" t="str">
        <f>IF('Sortering af spørgsmål'!$C$22=Projektforudsætninger!$C$26,"","-")</f>
        <v>-</v>
      </c>
      <c r="P164" s="251" t="str">
        <f>IF('Sortering af spørgsmål'!$C$22=Projektforudsætninger!$C$19,"","-")</f>
        <v>-</v>
      </c>
      <c r="Q164" s="259"/>
    </row>
    <row r="165" spans="1:17" s="222" customFormat="1" ht="15" customHeight="1" x14ac:dyDescent="0.45">
      <c r="A165" s="788"/>
      <c r="B165" s="781"/>
      <c r="C165" s="779" t="str">
        <f>Arbejdsark!C321</f>
        <v>Vaske-/tørrefaciliteter</v>
      </c>
      <c r="D165" s="282">
        <f>Arbejdsark!O322</f>
        <v>1</v>
      </c>
      <c r="E165" s="282">
        <f>D165-D165</f>
        <v>0</v>
      </c>
      <c r="F165" s="282" t="str">
        <f>IF(Projektforudsætninger!B14="Ja",Arbejdsark!U322,"-")</f>
        <v>-</v>
      </c>
      <c r="G165" s="282" t="str">
        <f>IF(Projektforudsætninger!$B$14="Ja",F165-F165,"-")</f>
        <v>-</v>
      </c>
      <c r="H165" s="237" t="s">
        <v>498</v>
      </c>
      <c r="I165" s="249" t="str">
        <f>IF('Sortering af spørgsmål'!$C$22=Projektforudsætninger!$C$20,"","-")</f>
        <v>-</v>
      </c>
      <c r="J165" s="249" t="str">
        <f>IF('Sortering af spørgsmål'!$C$22=Projektforudsætninger!$C$21,"","-")</f>
        <v>-</v>
      </c>
      <c r="K165" s="249" t="str">
        <f>IF('Sortering af spørgsmål'!$C$22=Projektforudsætninger!$C$22,"","-")</f>
        <v>-</v>
      </c>
      <c r="L165" s="249" t="str">
        <f>IF('Sortering af spørgsmål'!$C$22=Projektforudsætninger!$C$23,"","-")</f>
        <v>-</v>
      </c>
      <c r="M165" s="249" t="str">
        <f>IF('Sortering af spørgsmål'!$C$22=Projektforudsætninger!$C$24,"","-")</f>
        <v>-</v>
      </c>
      <c r="N165" s="249" t="str">
        <f>IF('Sortering af spørgsmål'!$C$22=Projektforudsætninger!$C$25,"","-")</f>
        <v>-</v>
      </c>
      <c r="O165" s="249" t="str">
        <f>IF('Sortering af spørgsmål'!$C$22=Projektforudsætninger!$C$26,"","-")</f>
        <v>-</v>
      </c>
      <c r="P165" s="249" t="str">
        <f>IF('Sortering af spørgsmål'!$C$22=Projektforudsætninger!$C$19,"","-")</f>
        <v>-</v>
      </c>
      <c r="Q165" s="258"/>
    </row>
    <row r="166" spans="1:17" ht="15" customHeight="1" x14ac:dyDescent="0.45">
      <c r="A166" s="788"/>
      <c r="B166" s="781"/>
      <c r="C166" s="779"/>
      <c r="D166" s="283">
        <f>Arbejdsark!O323</f>
        <v>1</v>
      </c>
      <c r="E166" s="283">
        <v>0</v>
      </c>
      <c r="F166" s="283" t="str">
        <f>IF(Projektforudsætninger!B14="Ja",Arbejdsark!U323,"-")</f>
        <v>-</v>
      </c>
      <c r="G166" s="283" t="str">
        <f>IF(Projektforudsætninger!$B$14="Ja",F165-F166,"-")</f>
        <v>-</v>
      </c>
      <c r="H166" s="239" t="s">
        <v>499</v>
      </c>
      <c r="I166" s="250" t="str">
        <f>IF('Sortering af spørgsmål'!$C$22=Projektforudsætninger!$C$20,"","-")</f>
        <v>-</v>
      </c>
      <c r="J166" s="250" t="str">
        <f>IF('Sortering af spørgsmål'!$C$22=Projektforudsætninger!$C$21,"","-")</f>
        <v>-</v>
      </c>
      <c r="K166" s="250" t="str">
        <f>IF('Sortering af spørgsmål'!$C$22=Projektforudsætninger!$C$22,"","-")</f>
        <v>-</v>
      </c>
      <c r="L166" s="250" t="str">
        <f>IF('Sortering af spørgsmål'!$C$22=Projektforudsætninger!$C$23,"","-")</f>
        <v>-</v>
      </c>
      <c r="M166" s="250" t="str">
        <f>IF('Sortering af spørgsmål'!$C$22=Projektforudsætninger!$C$24,"","-")</f>
        <v>-</v>
      </c>
      <c r="N166" s="250" t="str">
        <f>IF('Sortering af spørgsmål'!$C$22=Projektforudsætninger!$C$25,"","-")</f>
        <v>-</v>
      </c>
      <c r="O166" s="250" t="str">
        <f>IF('Sortering af spørgsmål'!$C$22=Projektforudsætninger!$C$26,"","-")</f>
        <v>-</v>
      </c>
      <c r="P166" s="250" t="str">
        <f>IF('Sortering af spørgsmål'!$C$22=Projektforudsætninger!$C$19,"","-")</f>
        <v>-</v>
      </c>
      <c r="Q166" s="259"/>
    </row>
    <row r="167" spans="1:17" ht="15" customHeight="1" x14ac:dyDescent="0.45">
      <c r="A167" s="788"/>
      <c r="B167" s="781"/>
      <c r="C167" s="779"/>
      <c r="D167" s="284">
        <f>Arbejdsark!O324</f>
        <v>0</v>
      </c>
      <c r="E167" s="284">
        <f>D165-D167</f>
        <v>1</v>
      </c>
      <c r="F167" s="284" t="str">
        <f>IF(Projektforudsætninger!B14="Ja",Arbejdsark!U324,"-")</f>
        <v>-</v>
      </c>
      <c r="G167" s="284" t="str">
        <f>IF(Projektforudsætninger!$B$14="Ja",F165-F167,"-")</f>
        <v>-</v>
      </c>
      <c r="H167" s="241" t="s">
        <v>495</v>
      </c>
      <c r="I167" s="251" t="str">
        <f>IF('Sortering af spørgsmål'!$C$22=Projektforudsætninger!$C$20,"","-")</f>
        <v>-</v>
      </c>
      <c r="J167" s="251" t="str">
        <f>IF('Sortering af spørgsmål'!$C$22=Projektforudsætninger!$C$21,"","-")</f>
        <v>-</v>
      </c>
      <c r="K167" s="251" t="str">
        <f>IF('Sortering af spørgsmål'!$C$22=Projektforudsætninger!$C$22,"","-")</f>
        <v>-</v>
      </c>
      <c r="L167" s="251" t="str">
        <f>IF('Sortering af spørgsmål'!$C$22=Projektforudsætninger!$C$23,"","-")</f>
        <v>-</v>
      </c>
      <c r="M167" s="251" t="str">
        <f>IF('Sortering af spørgsmål'!$C$22=Projektforudsætninger!$C$24,"","-")</f>
        <v>-</v>
      </c>
      <c r="N167" s="251" t="str">
        <f>IF('Sortering af spørgsmål'!$C$22=Projektforudsætninger!$C$25,"","-")</f>
        <v>-</v>
      </c>
      <c r="O167" s="251" t="str">
        <f>IF('Sortering af spørgsmål'!$C$22=Projektforudsætninger!$C$26,"","-")</f>
        <v>-</v>
      </c>
      <c r="P167" s="251" t="str">
        <f>IF('Sortering af spørgsmål'!$C$22=Projektforudsætninger!$C$19,"","-")</f>
        <v>-</v>
      </c>
      <c r="Q167" s="259"/>
    </row>
    <row r="168" spans="1:17" s="222" customFormat="1" ht="15" customHeight="1" x14ac:dyDescent="0.45">
      <c r="A168" s="788"/>
      <c r="B168" s="781"/>
      <c r="C168" s="779" t="str">
        <f>Arbejdsark!C326</f>
        <v>Tv, radio og internet</v>
      </c>
      <c r="D168" s="282">
        <f>Arbejdsark!O327</f>
        <v>1</v>
      </c>
      <c r="E168" s="282">
        <f>D168-D168</f>
        <v>0</v>
      </c>
      <c r="F168" s="282" t="str">
        <f>IF(Projektforudsætninger!B14="Ja",Arbejdsark!U327,"-")</f>
        <v>-</v>
      </c>
      <c r="G168" s="282" t="str">
        <f>IF(Projektforudsætninger!$B$14="Ja",F168-F168,"-")</f>
        <v>-</v>
      </c>
      <c r="H168" s="237" t="s">
        <v>498</v>
      </c>
      <c r="I168" s="249" t="str">
        <f>IF('Sortering af spørgsmål'!$C$22=Projektforudsætninger!$C$20,"","-")</f>
        <v>-</v>
      </c>
      <c r="J168" s="249" t="str">
        <f>IF('Sortering af spørgsmål'!$C$22=Projektforudsætninger!$C$21,"","-")</f>
        <v>-</v>
      </c>
      <c r="K168" s="249" t="str">
        <f>IF('Sortering af spørgsmål'!$C$22=Projektforudsætninger!$C$22,"","-")</f>
        <v>-</v>
      </c>
      <c r="L168" s="249" t="str">
        <f>IF('Sortering af spørgsmål'!$C$22=Projektforudsætninger!$C$23,"","-")</f>
        <v>-</v>
      </c>
      <c r="M168" s="249" t="str">
        <f>IF('Sortering af spørgsmål'!$C$22=Projektforudsætninger!$C$24,"","-")</f>
        <v>-</v>
      </c>
      <c r="N168" s="249" t="str">
        <f>IF('Sortering af spørgsmål'!$C$22=Projektforudsætninger!$C$25,"","-")</f>
        <v>-</v>
      </c>
      <c r="O168" s="249" t="str">
        <f>IF('Sortering af spørgsmål'!$C$22=Projektforudsætninger!$C$26,"","-")</f>
        <v>-</v>
      </c>
      <c r="P168" s="249" t="str">
        <f>IF('Sortering af spørgsmål'!$C$22=Projektforudsætninger!$C$19,"","-")</f>
        <v>-</v>
      </c>
      <c r="Q168" s="258"/>
    </row>
    <row r="169" spans="1:17" ht="15" customHeight="1" x14ac:dyDescent="0.45">
      <c r="A169" s="788"/>
      <c r="B169" s="781"/>
      <c r="C169" s="779"/>
      <c r="D169" s="283">
        <f>Arbejdsark!O328</f>
        <v>1</v>
      </c>
      <c r="E169" s="283">
        <v>0</v>
      </c>
      <c r="F169" s="283" t="str">
        <f>IF(Projektforudsætninger!B14="Ja",Arbejdsark!U328,"-")</f>
        <v>-</v>
      </c>
      <c r="G169" s="283" t="str">
        <f>IF(Projektforudsætninger!$B$14="Ja",F168-F169,"-")</f>
        <v>-</v>
      </c>
      <c r="H169" s="239" t="s">
        <v>499</v>
      </c>
      <c r="I169" s="250" t="str">
        <f>IF('Sortering af spørgsmål'!$C$22=Projektforudsætninger!$C$20,"","-")</f>
        <v>-</v>
      </c>
      <c r="J169" s="250" t="str">
        <f>IF('Sortering af spørgsmål'!$C$22=Projektforudsætninger!$C$21,"","-")</f>
        <v>-</v>
      </c>
      <c r="K169" s="250" t="str">
        <f>IF('Sortering af spørgsmål'!$C$22=Projektforudsætninger!$C$22,"","-")</f>
        <v>-</v>
      </c>
      <c r="L169" s="250" t="str">
        <f>IF('Sortering af spørgsmål'!$C$22=Projektforudsætninger!$C$23,"","-")</f>
        <v>-</v>
      </c>
      <c r="M169" s="250" t="str">
        <f>IF('Sortering af spørgsmål'!$C$22=Projektforudsætninger!$C$24,"","-")</f>
        <v>-</v>
      </c>
      <c r="N169" s="250" t="str">
        <f>IF('Sortering af spørgsmål'!$C$22=Projektforudsætninger!$C$25,"","-")</f>
        <v>-</v>
      </c>
      <c r="O169" s="250" t="str">
        <f>IF('Sortering af spørgsmål'!$C$22=Projektforudsætninger!$C$26,"","-")</f>
        <v>-</v>
      </c>
      <c r="P169" s="250" t="str">
        <f>IF('Sortering af spørgsmål'!$C$22=Projektforudsætninger!$C$19,"","-")</f>
        <v>-</v>
      </c>
      <c r="Q169" s="259"/>
    </row>
    <row r="170" spans="1:17" ht="15" customHeight="1" x14ac:dyDescent="0.45">
      <c r="A170" s="788"/>
      <c r="B170" s="781"/>
      <c r="C170" s="779"/>
      <c r="D170" s="284">
        <f>Arbejdsark!O329</f>
        <v>0</v>
      </c>
      <c r="E170" s="284">
        <f>D168-D170</f>
        <v>1</v>
      </c>
      <c r="F170" s="284" t="str">
        <f>IF(Projektforudsætninger!B14="Ja",Arbejdsark!U329,"-")</f>
        <v>-</v>
      </c>
      <c r="G170" s="284" t="str">
        <f>IF(Projektforudsætninger!$B$14="Ja",F168-F170,"-")</f>
        <v>-</v>
      </c>
      <c r="H170" s="241" t="s">
        <v>495</v>
      </c>
      <c r="I170" s="251" t="str">
        <f>IF('Sortering af spørgsmål'!$C$22=Projektforudsætninger!$C$20,"","-")</f>
        <v>-</v>
      </c>
      <c r="J170" s="251" t="str">
        <f>IF('Sortering af spørgsmål'!$C$22=Projektforudsætninger!$C$21,"","-")</f>
        <v>-</v>
      </c>
      <c r="K170" s="251" t="str">
        <f>IF('Sortering af spørgsmål'!$C$22=Projektforudsætninger!$C$22,"","-")</f>
        <v>-</v>
      </c>
      <c r="L170" s="251" t="str">
        <f>IF('Sortering af spørgsmål'!$C$22=Projektforudsætninger!$C$23,"","-")</f>
        <v>-</v>
      </c>
      <c r="M170" s="251" t="str">
        <f>IF('Sortering af spørgsmål'!$C$22=Projektforudsætninger!$C$24,"","-")</f>
        <v>-</v>
      </c>
      <c r="N170" s="251" t="str">
        <f>IF('Sortering af spørgsmål'!$C$22=Projektforudsætninger!$C$25,"","-")</f>
        <v>-</v>
      </c>
      <c r="O170" s="251" t="str">
        <f>IF('Sortering af spørgsmål'!$C$22=Projektforudsætninger!$C$26,"","-")</f>
        <v>-</v>
      </c>
      <c r="P170" s="251" t="str">
        <f>IF('Sortering af spørgsmål'!$C$22=Projektforudsætninger!$C$19,"","-")</f>
        <v>-</v>
      </c>
      <c r="Q170" s="259"/>
    </row>
    <row r="171" spans="1:17" s="222" customFormat="1" ht="15" customHeight="1" x14ac:dyDescent="0.45">
      <c r="A171" s="788"/>
      <c r="B171" s="781"/>
      <c r="C171" s="779" t="str">
        <f>Arbejdsark!C331</f>
        <v>Adskillelse af soverum og opholdsrum</v>
      </c>
      <c r="D171" s="282">
        <f>Arbejdsark!O332</f>
        <v>1</v>
      </c>
      <c r="E171" s="282">
        <f>D171-D171</f>
        <v>0</v>
      </c>
      <c r="F171" s="282" t="str">
        <f>IF(Projektforudsætninger!B14="Ja",Arbejdsark!U332,"-")</f>
        <v>-</v>
      </c>
      <c r="G171" s="282" t="str">
        <f>IF(Projektforudsætninger!$B$14="Ja",F171-F171,"-")</f>
        <v>-</v>
      </c>
      <c r="H171" s="237" t="s">
        <v>498</v>
      </c>
      <c r="I171" s="249" t="str">
        <f>IF('Sortering af spørgsmål'!$C$22=Projektforudsætninger!$C$20,"","-")</f>
        <v>-</v>
      </c>
      <c r="J171" s="249" t="str">
        <f>IF('Sortering af spørgsmål'!$C$22=Projektforudsætninger!$C$21,"","-")</f>
        <v>-</v>
      </c>
      <c r="K171" s="249" t="str">
        <f>IF('Sortering af spørgsmål'!$C$22=Projektforudsætninger!$C$22,"","-")</f>
        <v>-</v>
      </c>
      <c r="L171" s="249" t="str">
        <f>IF('Sortering af spørgsmål'!$C$22=Projektforudsætninger!$C$23,"","-")</f>
        <v>-</v>
      </c>
      <c r="M171" s="249" t="str">
        <f>IF('Sortering af spørgsmål'!$C$22=Projektforudsætninger!$C$24,"","-")</f>
        <v>-</v>
      </c>
      <c r="N171" s="249" t="str">
        <f>IF('Sortering af spørgsmål'!$C$22=Projektforudsætninger!$C$25,"","-")</f>
        <v>-</v>
      </c>
      <c r="O171" s="249" t="str">
        <f>IF('Sortering af spørgsmål'!$C$22=Projektforudsætninger!$C$26,"","-")</f>
        <v>-</v>
      </c>
      <c r="P171" s="249" t="str">
        <f>IF('Sortering af spørgsmål'!$C$22=Projektforudsætninger!$C$19,"","-")</f>
        <v>-</v>
      </c>
      <c r="Q171" s="258"/>
    </row>
    <row r="172" spans="1:17" ht="15" customHeight="1" x14ac:dyDescent="0.45">
      <c r="A172" s="788"/>
      <c r="B172" s="781"/>
      <c r="C172" s="779"/>
      <c r="D172" s="283">
        <f>Arbejdsark!O333</f>
        <v>1</v>
      </c>
      <c r="E172" s="283">
        <f>D171-D172</f>
        <v>0</v>
      </c>
      <c r="F172" s="283" t="str">
        <f>IF(Projektforudsætninger!B14="Ja",Arbejdsark!U333,"-")</f>
        <v>-</v>
      </c>
      <c r="G172" s="283" t="str">
        <f>IF(Projektforudsætninger!$B$14="Ja",F171-F172,"-")</f>
        <v>-</v>
      </c>
      <c r="H172" s="239" t="s">
        <v>499</v>
      </c>
      <c r="I172" s="250" t="str">
        <f>IF('Sortering af spørgsmål'!$C$22=Projektforudsætninger!$C$20,"","-")</f>
        <v>-</v>
      </c>
      <c r="J172" s="250" t="str">
        <f>IF('Sortering af spørgsmål'!$C$22=Projektforudsætninger!$C$21,"","-")</f>
        <v>-</v>
      </c>
      <c r="K172" s="250" t="str">
        <f>IF('Sortering af spørgsmål'!$C$22=Projektforudsætninger!$C$22,"","-")</f>
        <v>-</v>
      </c>
      <c r="L172" s="250" t="str">
        <f>IF('Sortering af spørgsmål'!$C$22=Projektforudsætninger!$C$23,"","-")</f>
        <v>-</v>
      </c>
      <c r="M172" s="250" t="str">
        <f>IF('Sortering af spørgsmål'!$C$22=Projektforudsætninger!$C$24,"","-")</f>
        <v>-</v>
      </c>
      <c r="N172" s="250" t="str">
        <f>IF('Sortering af spørgsmål'!$C$22=Projektforudsætninger!$C$25,"","-")</f>
        <v>-</v>
      </c>
      <c r="O172" s="250" t="str">
        <f>IF('Sortering af spørgsmål'!$C$22=Projektforudsætninger!$C$26,"","-")</f>
        <v>-</v>
      </c>
      <c r="P172" s="250" t="str">
        <f>IF('Sortering af spørgsmål'!$C$22=Projektforudsætninger!$C$19,"","-")</f>
        <v>-</v>
      </c>
      <c r="Q172" s="259"/>
    </row>
    <row r="173" spans="1:17" ht="15" customHeight="1" x14ac:dyDescent="0.45">
      <c r="A173" s="788"/>
      <c r="B173" s="781"/>
      <c r="C173" s="779"/>
      <c r="D173" s="284">
        <f>Arbejdsark!O334</f>
        <v>0</v>
      </c>
      <c r="E173" s="284">
        <v>0</v>
      </c>
      <c r="F173" s="284" t="str">
        <f>IF(Projektforudsætninger!B14="Ja",Arbejdsark!U334,"-")</f>
        <v>-</v>
      </c>
      <c r="G173" s="284" t="str">
        <f>IF(Projektforudsætninger!$B$14="Ja",F171-F173,"-")</f>
        <v>-</v>
      </c>
      <c r="H173" s="241" t="s">
        <v>495</v>
      </c>
      <c r="I173" s="251" t="str">
        <f>IF('Sortering af spørgsmål'!$C$22=Projektforudsætninger!$C$20,"","-")</f>
        <v>-</v>
      </c>
      <c r="J173" s="251" t="str">
        <f>IF('Sortering af spørgsmål'!$C$22=Projektforudsætninger!$C$21,"","-")</f>
        <v>-</v>
      </c>
      <c r="K173" s="251" t="str">
        <f>IF('Sortering af spørgsmål'!$C$22=Projektforudsætninger!$C$22,"","-")</f>
        <v>-</v>
      </c>
      <c r="L173" s="251" t="str">
        <f>IF('Sortering af spørgsmål'!$C$22=Projektforudsætninger!$C$23,"","-")</f>
        <v>-</v>
      </c>
      <c r="M173" s="251" t="str">
        <f>IF('Sortering af spørgsmål'!$C$22=Projektforudsætninger!$C$24,"","-")</f>
        <v>-</v>
      </c>
      <c r="N173" s="251" t="str">
        <f>IF('Sortering af spørgsmål'!$C$22=Projektforudsætninger!$C$25,"","-")</f>
        <v>-</v>
      </c>
      <c r="O173" s="251" t="str">
        <f>IF('Sortering af spørgsmål'!$C$22=Projektforudsætninger!$C$26,"","-")</f>
        <v>-</v>
      </c>
      <c r="P173" s="251" t="str">
        <f>IF('Sortering af spørgsmål'!$C$22=Projektforudsætninger!$C$19,"","-")</f>
        <v>-</v>
      </c>
      <c r="Q173" s="259"/>
    </row>
    <row r="174" spans="1:17" s="222" customFormat="1" ht="15" customHeight="1" x14ac:dyDescent="0.45">
      <c r="A174" s="788"/>
      <c r="B174" s="781"/>
      <c r="C174" s="779" t="str">
        <f>Arbejdsark!C336</f>
        <v>Toilet og baderum (tilgængelighed)</v>
      </c>
      <c r="D174" s="282">
        <f>Arbejdsark!O337</f>
        <v>1</v>
      </c>
      <c r="E174" s="282">
        <f>D174-D174</f>
        <v>0</v>
      </c>
      <c r="F174" s="282" t="str">
        <f>IF(Projektforudsætninger!B14="Ja",Arbejdsark!U337,"-")</f>
        <v>-</v>
      </c>
      <c r="G174" s="282" t="str">
        <f>IF(Projektforudsætninger!$B$14="Ja",F174-F174,"-")</f>
        <v>-</v>
      </c>
      <c r="H174" s="237" t="s">
        <v>498</v>
      </c>
      <c r="I174" s="249" t="str">
        <f>IF('Sortering af spørgsmål'!$C$22=Projektforudsætninger!$C$20,"","-")</f>
        <v>-</v>
      </c>
      <c r="J174" s="249" t="str">
        <f>IF('Sortering af spørgsmål'!$C$22=Projektforudsætninger!$C$21,"","-")</f>
        <v>-</v>
      </c>
      <c r="K174" s="249" t="str">
        <f>IF('Sortering af spørgsmål'!$C$22=Projektforudsætninger!$C$22,"","-")</f>
        <v>-</v>
      </c>
      <c r="L174" s="249" t="str">
        <f>IF('Sortering af spørgsmål'!$C$22=Projektforudsætninger!$C$23,"","-")</f>
        <v>-</v>
      </c>
      <c r="M174" s="249" t="str">
        <f>IF('Sortering af spørgsmål'!$C$22=Projektforudsætninger!$C$24,"","-")</f>
        <v>-</v>
      </c>
      <c r="N174" s="249" t="str">
        <f>IF('Sortering af spørgsmål'!$C$22=Projektforudsætninger!$C$25,"","-")</f>
        <v>-</v>
      </c>
      <c r="O174" s="249" t="str">
        <f>IF('Sortering af spørgsmål'!$C$22=Projektforudsætninger!$C$26,"","-")</f>
        <v>-</v>
      </c>
      <c r="P174" s="249" t="str">
        <f>IF('Sortering af spørgsmål'!$C$22=Projektforudsætninger!$C$19,"","-")</f>
        <v>-</v>
      </c>
      <c r="Q174" s="258"/>
    </row>
    <row r="175" spans="1:17" ht="15" customHeight="1" x14ac:dyDescent="0.45">
      <c r="A175" s="788"/>
      <c r="B175" s="781"/>
      <c r="C175" s="779"/>
      <c r="D175" s="283">
        <f>Arbejdsark!O338</f>
        <v>1</v>
      </c>
      <c r="E175" s="283">
        <v>0</v>
      </c>
      <c r="F175" s="283" t="str">
        <f>IF(Projektforudsætninger!B14="Ja",Arbejdsark!U338,"-")</f>
        <v>-</v>
      </c>
      <c r="G175" s="283" t="str">
        <f>IF(Projektforudsætninger!$B$14="Ja",F174-F175,"-")</f>
        <v>-</v>
      </c>
      <c r="H175" s="239" t="s">
        <v>499</v>
      </c>
      <c r="I175" s="250" t="str">
        <f>IF('Sortering af spørgsmål'!$C$22=Projektforudsætninger!$C$20,"","-")</f>
        <v>-</v>
      </c>
      <c r="J175" s="250" t="str">
        <f>IF('Sortering af spørgsmål'!$C$22=Projektforudsætninger!$C$21,"","-")</f>
        <v>-</v>
      </c>
      <c r="K175" s="250" t="str">
        <f>IF('Sortering af spørgsmål'!$C$22=Projektforudsætninger!$C$22,"","-")</f>
        <v>-</v>
      </c>
      <c r="L175" s="250" t="str">
        <f>IF('Sortering af spørgsmål'!$C$22=Projektforudsætninger!$C$23,"","-")</f>
        <v>-</v>
      </c>
      <c r="M175" s="250" t="str">
        <f>IF('Sortering af spørgsmål'!$C$22=Projektforudsætninger!$C$24,"","-")</f>
        <v>-</v>
      </c>
      <c r="N175" s="250" t="str">
        <f>IF('Sortering af spørgsmål'!$C$22=Projektforudsætninger!$C$25,"","-")</f>
        <v>-</v>
      </c>
      <c r="O175" s="250" t="str">
        <f>IF('Sortering af spørgsmål'!$C$22=Projektforudsætninger!$C$26,"","-")</f>
        <v>-</v>
      </c>
      <c r="P175" s="250" t="str">
        <f>IF('Sortering af spørgsmål'!$C$22=Projektforudsætninger!$C$19,"","-")</f>
        <v>-</v>
      </c>
      <c r="Q175" s="259"/>
    </row>
    <row r="176" spans="1:17" ht="15" customHeight="1" x14ac:dyDescent="0.45">
      <c r="A176" s="788"/>
      <c r="B176" s="781"/>
      <c r="C176" s="779"/>
      <c r="D176" s="284">
        <f>Arbejdsark!O339</f>
        <v>0</v>
      </c>
      <c r="E176" s="284">
        <f>D174-D176</f>
        <v>1</v>
      </c>
      <c r="F176" s="284" t="str">
        <f>IF(Projektforudsætninger!B14="Ja",Arbejdsark!U339,"-")</f>
        <v>-</v>
      </c>
      <c r="G176" s="284" t="str">
        <f>IF(Projektforudsætninger!$B$14="Ja",F174-F176,"-")</f>
        <v>-</v>
      </c>
      <c r="H176" s="241" t="s">
        <v>495</v>
      </c>
      <c r="I176" s="251" t="str">
        <f>IF('Sortering af spørgsmål'!$C$22=Projektforudsætninger!$C$20,"","-")</f>
        <v>-</v>
      </c>
      <c r="J176" s="251" t="str">
        <f>IF('Sortering af spørgsmål'!$C$22=Projektforudsætninger!$C$21,"","-")</f>
        <v>-</v>
      </c>
      <c r="K176" s="251" t="str">
        <f>IF('Sortering af spørgsmål'!$C$22=Projektforudsætninger!$C$22,"","-")</f>
        <v>-</v>
      </c>
      <c r="L176" s="251" t="str">
        <f>IF('Sortering af spørgsmål'!$C$22=Projektforudsætninger!$C$23,"","-")</f>
        <v>-</v>
      </c>
      <c r="M176" s="251" t="str">
        <f>IF('Sortering af spørgsmål'!$C$22=Projektforudsætninger!$C$24,"","-")</f>
        <v>-</v>
      </c>
      <c r="N176" s="251" t="str">
        <f>IF('Sortering af spørgsmål'!$C$22=Projektforudsætninger!$C$25,"","-")</f>
        <v>-</v>
      </c>
      <c r="O176" s="251" t="str">
        <f>IF('Sortering af spørgsmål'!$C$22=Projektforudsætninger!$C$26,"","-")</f>
        <v>-</v>
      </c>
      <c r="P176" s="251" t="str">
        <f>IF('Sortering af spørgsmål'!$C$22=Projektforudsætninger!$C$19,"","-")</f>
        <v>-</v>
      </c>
      <c r="Q176" s="259"/>
    </row>
    <row r="177" spans="1:17" s="222" customFormat="1" ht="15" customHeight="1" x14ac:dyDescent="0.45">
      <c r="A177" s="788"/>
      <c r="B177" s="781"/>
      <c r="C177" s="779" t="str">
        <f>Arbejdsark!C341</f>
        <v>Indretningsmuligheder</v>
      </c>
      <c r="D177" s="282">
        <f>Arbejdsark!O342</f>
        <v>1</v>
      </c>
      <c r="E177" s="282">
        <f>D177-D177</f>
        <v>0</v>
      </c>
      <c r="F177" s="282" t="str">
        <f>IF(Projektforudsætninger!B14="Ja",Arbejdsark!U342,"-")</f>
        <v>-</v>
      </c>
      <c r="G177" s="282" t="str">
        <f>IF(Projektforudsætninger!$B$14="Ja",F177-F177,"-")</f>
        <v>-</v>
      </c>
      <c r="H177" s="237" t="s">
        <v>498</v>
      </c>
      <c r="I177" s="249" t="str">
        <f>IF('Sortering af spørgsmål'!$C$22=Projektforudsætninger!$C$20,"","-")</f>
        <v>-</v>
      </c>
      <c r="J177" s="249" t="str">
        <f>IF('Sortering af spørgsmål'!$C$22=Projektforudsætninger!$C$21,"","-")</f>
        <v>-</v>
      </c>
      <c r="K177" s="249" t="str">
        <f>IF('Sortering af spørgsmål'!$C$22=Projektforudsætninger!$C$22,"","-")</f>
        <v>-</v>
      </c>
      <c r="L177" s="249" t="str">
        <f>IF('Sortering af spørgsmål'!$C$22=Projektforudsætninger!$C$23,"","-")</f>
        <v>-</v>
      </c>
      <c r="M177" s="249" t="str">
        <f>IF('Sortering af spørgsmål'!$C$22=Projektforudsætninger!$C$24,"","-")</f>
        <v>-</v>
      </c>
      <c r="N177" s="249" t="str">
        <f>IF('Sortering af spørgsmål'!$C$22=Projektforudsætninger!$C$25,"","-")</f>
        <v>-</v>
      </c>
      <c r="O177" s="249" t="str">
        <f>IF('Sortering af spørgsmål'!$C$22=Projektforudsætninger!$C$26,"","-")</f>
        <v>-</v>
      </c>
      <c r="P177" s="249" t="str">
        <f>IF('Sortering af spørgsmål'!$C$22=Projektforudsætninger!$C$19,"","-")</f>
        <v>-</v>
      </c>
      <c r="Q177" s="258"/>
    </row>
    <row r="178" spans="1:17" ht="15" customHeight="1" x14ac:dyDescent="0.45">
      <c r="A178" s="788"/>
      <c r="B178" s="781"/>
      <c r="C178" s="779"/>
      <c r="D178" s="283">
        <f>Arbejdsark!O343</f>
        <v>1</v>
      </c>
      <c r="E178" s="283">
        <v>0</v>
      </c>
      <c r="F178" s="283" t="str">
        <f>IF(Projektforudsætninger!B14="Ja",Arbejdsark!U343,"-")</f>
        <v>-</v>
      </c>
      <c r="G178" s="283" t="str">
        <f>IF(Projektforudsætninger!$B$14="Ja",F177-F178,"-")</f>
        <v>-</v>
      </c>
      <c r="H178" s="239" t="s">
        <v>499</v>
      </c>
      <c r="I178" s="250" t="str">
        <f>IF('Sortering af spørgsmål'!$C$22=Projektforudsætninger!$C$20,"","-")</f>
        <v>-</v>
      </c>
      <c r="J178" s="250" t="str">
        <f>IF('Sortering af spørgsmål'!$C$22=Projektforudsætninger!$C$21,"","-")</f>
        <v>-</v>
      </c>
      <c r="K178" s="250" t="str">
        <f>IF('Sortering af spørgsmål'!$C$22=Projektforudsætninger!$C$22,"","-")</f>
        <v>-</v>
      </c>
      <c r="L178" s="250" t="str">
        <f>IF('Sortering af spørgsmål'!$C$22=Projektforudsætninger!$C$23,"","-")</f>
        <v>-</v>
      </c>
      <c r="M178" s="250" t="str">
        <f>IF('Sortering af spørgsmål'!$C$22=Projektforudsætninger!$C$24,"","-")</f>
        <v>-</v>
      </c>
      <c r="N178" s="250" t="str">
        <f>IF('Sortering af spørgsmål'!$C$22=Projektforudsætninger!$C$25,"","-")</f>
        <v>-</v>
      </c>
      <c r="O178" s="250" t="str">
        <f>IF('Sortering af spørgsmål'!$C$22=Projektforudsætninger!$C$26,"","-")</f>
        <v>-</v>
      </c>
      <c r="P178" s="250" t="str">
        <f>IF('Sortering af spørgsmål'!$C$22=Projektforudsætninger!$C$19,"","-")</f>
        <v>-</v>
      </c>
      <c r="Q178" s="259"/>
    </row>
    <row r="179" spans="1:17" ht="15" customHeight="1" x14ac:dyDescent="0.45">
      <c r="A179" s="788"/>
      <c r="B179" s="781"/>
      <c r="C179" s="779"/>
      <c r="D179" s="284">
        <f>Arbejdsark!O344</f>
        <v>0</v>
      </c>
      <c r="E179" s="284">
        <f>D177-D179</f>
        <v>1</v>
      </c>
      <c r="F179" s="284" t="str">
        <f>IF(Projektforudsætninger!B14="Ja",Arbejdsark!U344,"-")</f>
        <v>-</v>
      </c>
      <c r="G179" s="284" t="str">
        <f>IF(Projektforudsætninger!$B$14="Ja",F177-F179,"-")</f>
        <v>-</v>
      </c>
      <c r="H179" s="241" t="s">
        <v>495</v>
      </c>
      <c r="I179" s="251" t="str">
        <f>IF('Sortering af spørgsmål'!$C$22=Projektforudsætninger!$C$20,"","-")</f>
        <v>-</v>
      </c>
      <c r="J179" s="251" t="str">
        <f>IF('Sortering af spørgsmål'!$C$22=Projektforudsætninger!$C$21,"","-")</f>
        <v>-</v>
      </c>
      <c r="K179" s="251" t="str">
        <f>IF('Sortering af spørgsmål'!$C$22=Projektforudsætninger!$C$22,"","-")</f>
        <v>-</v>
      </c>
      <c r="L179" s="251" t="str">
        <f>IF('Sortering af spørgsmål'!$C$22=Projektforudsætninger!$C$23,"","-")</f>
        <v>-</v>
      </c>
      <c r="M179" s="251" t="str">
        <f>IF('Sortering af spørgsmål'!$C$22=Projektforudsætninger!$C$24,"","-")</f>
        <v>-</v>
      </c>
      <c r="N179" s="251" t="str">
        <f>IF('Sortering af spørgsmål'!$C$22=Projektforudsætninger!$C$25,"","-")</f>
        <v>-</v>
      </c>
      <c r="O179" s="251" t="str">
        <f>IF('Sortering af spørgsmål'!$C$22=Projektforudsætninger!$C$26,"","-")</f>
        <v>-</v>
      </c>
      <c r="P179" s="251" t="str">
        <f>IF('Sortering af spørgsmål'!$C$22=Projektforudsætninger!$C$19,"","-")</f>
        <v>-</v>
      </c>
      <c r="Q179" s="259"/>
    </row>
    <row r="180" spans="1:17" s="222" customFormat="1" ht="15" customHeight="1" x14ac:dyDescent="0.45">
      <c r="A180" s="788"/>
      <c r="B180" s="781"/>
      <c r="C180" s="779" t="str">
        <f>Arbejdsark!C346</f>
        <v xml:space="preserve">Placering af køkken </v>
      </c>
      <c r="D180" s="282">
        <f>Arbejdsark!O347</f>
        <v>1</v>
      </c>
      <c r="E180" s="282">
        <f>D180-D180</f>
        <v>0</v>
      </c>
      <c r="F180" s="282" t="str">
        <f>IF(Projektforudsætninger!B14="Ja",Arbejdsark!U347,"-")</f>
        <v>-</v>
      </c>
      <c r="G180" s="282" t="str">
        <f>IF(Projektforudsætninger!$B$14="Ja",F180-F180,"-")</f>
        <v>-</v>
      </c>
      <c r="H180" s="237" t="s">
        <v>498</v>
      </c>
      <c r="I180" s="249" t="str">
        <f>IF('Sortering af spørgsmål'!$C$22=Projektforudsætninger!$C$20,"","-")</f>
        <v>-</v>
      </c>
      <c r="J180" s="249" t="str">
        <f>IF('Sortering af spørgsmål'!$C$22=Projektforudsætninger!$C$21,"","-")</f>
        <v>-</v>
      </c>
      <c r="K180" s="249" t="str">
        <f>IF('Sortering af spørgsmål'!$C$22=Projektforudsætninger!$C$22,"","-")</f>
        <v>-</v>
      </c>
      <c r="L180" s="249" t="str">
        <f>IF('Sortering af spørgsmål'!$C$22=Projektforudsætninger!$C$23,"","-")</f>
        <v>-</v>
      </c>
      <c r="M180" s="249" t="str">
        <f>IF('Sortering af spørgsmål'!$C$22=Projektforudsætninger!$C$24,"","-")</f>
        <v>-</v>
      </c>
      <c r="N180" s="249" t="str">
        <f>IF('Sortering af spørgsmål'!$C$22=Projektforudsætninger!$C$25,"","-")</f>
        <v>-</v>
      </c>
      <c r="O180" s="249" t="str">
        <f>IF('Sortering af spørgsmål'!$C$22=Projektforudsætninger!$C$26,"","-")</f>
        <v>-</v>
      </c>
      <c r="P180" s="249" t="str">
        <f>IF('Sortering af spørgsmål'!$C$22=Projektforudsætninger!$C$19,"","-")</f>
        <v>-</v>
      </c>
      <c r="Q180" s="258"/>
    </row>
    <row r="181" spans="1:17" ht="15" customHeight="1" x14ac:dyDescent="0.45">
      <c r="A181" s="788"/>
      <c r="B181" s="781"/>
      <c r="C181" s="779"/>
      <c r="D181" s="283">
        <f>Arbejdsark!O348</f>
        <v>1</v>
      </c>
      <c r="E181" s="283">
        <f>D180-D181</f>
        <v>0</v>
      </c>
      <c r="F181" s="283" t="str">
        <f>IF(Projektforudsætninger!B14="Ja",Arbejdsark!U348,"-")</f>
        <v>-</v>
      </c>
      <c r="G181" s="283" t="str">
        <f>IF(Projektforudsætninger!$B$14="Ja",F180-F181,"-")</f>
        <v>-</v>
      </c>
      <c r="H181" s="239" t="s">
        <v>499</v>
      </c>
      <c r="I181" s="250" t="str">
        <f>IF('Sortering af spørgsmål'!$C$22=Projektforudsætninger!$C$20,"","-")</f>
        <v>-</v>
      </c>
      <c r="J181" s="250" t="str">
        <f>IF('Sortering af spørgsmål'!$C$22=Projektforudsætninger!$C$21,"","-")</f>
        <v>-</v>
      </c>
      <c r="K181" s="250" t="str">
        <f>IF('Sortering af spørgsmål'!$C$22=Projektforudsætninger!$C$22,"","-")</f>
        <v>-</v>
      </c>
      <c r="L181" s="250" t="str">
        <f>IF('Sortering af spørgsmål'!$C$22=Projektforudsætninger!$C$23,"","-")</f>
        <v>-</v>
      </c>
      <c r="M181" s="250" t="str">
        <f>IF('Sortering af spørgsmål'!$C$22=Projektforudsætninger!$C$24,"","-")</f>
        <v>-</v>
      </c>
      <c r="N181" s="250" t="str">
        <f>IF('Sortering af spørgsmål'!$C$22=Projektforudsætninger!$C$25,"","-")</f>
        <v>-</v>
      </c>
      <c r="O181" s="250" t="str">
        <f>IF('Sortering af spørgsmål'!$C$22=Projektforudsætninger!$C$26,"","-")</f>
        <v>-</v>
      </c>
      <c r="P181" s="250" t="str">
        <f>IF('Sortering af spørgsmål'!$C$22=Projektforudsætninger!$C$19,"","-")</f>
        <v>-</v>
      </c>
      <c r="Q181" s="259"/>
    </row>
    <row r="182" spans="1:17" ht="15" customHeight="1" x14ac:dyDescent="0.45">
      <c r="A182" s="788"/>
      <c r="B182" s="781"/>
      <c r="C182" s="779"/>
      <c r="D182" s="284">
        <f>Arbejdsark!O349</f>
        <v>0</v>
      </c>
      <c r="E182" s="284">
        <f>D180-D182</f>
        <v>1</v>
      </c>
      <c r="F182" s="284" t="str">
        <f>IF(Projektforudsætninger!B14="Ja",Arbejdsark!U349,"-")</f>
        <v>-</v>
      </c>
      <c r="G182" s="284" t="str">
        <f>IF(Projektforudsætninger!$B$14="Ja",F180-F182,"-")</f>
        <v>-</v>
      </c>
      <c r="H182" s="241" t="s">
        <v>495</v>
      </c>
      <c r="I182" s="251" t="str">
        <f>IF('Sortering af spørgsmål'!$C$22=Projektforudsætninger!$C$20,"","-")</f>
        <v>-</v>
      </c>
      <c r="J182" s="251" t="str">
        <f>IF('Sortering af spørgsmål'!$C$22=Projektforudsætninger!$C$21,"","-")</f>
        <v>-</v>
      </c>
      <c r="K182" s="251" t="str">
        <f>IF('Sortering af spørgsmål'!$C$22=Projektforudsætninger!$C$22,"","-")</f>
        <v>-</v>
      </c>
      <c r="L182" s="251" t="str">
        <f>IF('Sortering af spørgsmål'!$C$22=Projektforudsætninger!$C$23,"","-")</f>
        <v>-</v>
      </c>
      <c r="M182" s="251" t="str">
        <f>IF('Sortering af spørgsmål'!$C$22=Projektforudsætninger!$C$24,"","-")</f>
        <v>-</v>
      </c>
      <c r="N182" s="251" t="str">
        <f>IF('Sortering af spørgsmål'!$C$22=Projektforudsætninger!$C$25,"","-")</f>
        <v>-</v>
      </c>
      <c r="O182" s="251" t="str">
        <f>IF('Sortering af spørgsmål'!$C$22=Projektforudsætninger!$C$26,"","-")</f>
        <v>-</v>
      </c>
      <c r="P182" s="251" t="str">
        <f>IF('Sortering af spørgsmål'!$C$22=Projektforudsætninger!$C$19,"","-")</f>
        <v>-</v>
      </c>
      <c r="Q182" s="259"/>
    </row>
    <row r="183" spans="1:17" s="222" customFormat="1" ht="15" customHeight="1" x14ac:dyDescent="0.45">
      <c r="A183" s="788"/>
      <c r="B183" s="781"/>
      <c r="C183" s="779" t="str">
        <f>Arbejdsark!C351</f>
        <v>Placering af bad</v>
      </c>
      <c r="D183" s="282">
        <f>Arbejdsark!O352</f>
        <v>1</v>
      </c>
      <c r="E183" s="282">
        <f>D183-D183</f>
        <v>0</v>
      </c>
      <c r="F183" s="282" t="str">
        <f>IF(Projektforudsætninger!B14="Ja",Arbejdsark!U352,"-")</f>
        <v>-</v>
      </c>
      <c r="G183" s="282" t="str">
        <f>IF(Projektforudsætninger!$B$14="Ja",F183-F183,"-")</f>
        <v>-</v>
      </c>
      <c r="H183" s="237" t="s">
        <v>498</v>
      </c>
      <c r="I183" s="249" t="str">
        <f>IF('Sortering af spørgsmål'!$C$22=Projektforudsætninger!$C$20,"","-")</f>
        <v>-</v>
      </c>
      <c r="J183" s="249" t="str">
        <f>IF('Sortering af spørgsmål'!$C$22=Projektforudsætninger!$C$21,"","-")</f>
        <v>-</v>
      </c>
      <c r="K183" s="249" t="str">
        <f>IF('Sortering af spørgsmål'!$C$22=Projektforudsætninger!$C$22,"","-")</f>
        <v>-</v>
      </c>
      <c r="L183" s="249" t="str">
        <f>IF('Sortering af spørgsmål'!$C$22=Projektforudsætninger!$C$23,"","-")</f>
        <v>-</v>
      </c>
      <c r="M183" s="249" t="str">
        <f>IF('Sortering af spørgsmål'!$C$22=Projektforudsætninger!$C$24,"","-")</f>
        <v>-</v>
      </c>
      <c r="N183" s="249" t="str">
        <f>IF('Sortering af spørgsmål'!$C$22=Projektforudsætninger!$C$25,"","-")</f>
        <v>-</v>
      </c>
      <c r="O183" s="249" t="str">
        <f>IF('Sortering af spørgsmål'!$C$22=Projektforudsætninger!$C$26,"","-")</f>
        <v>-</v>
      </c>
      <c r="P183" s="249" t="str">
        <f>IF('Sortering af spørgsmål'!$C$22=Projektforudsætninger!$C$19,"","-")</f>
        <v>-</v>
      </c>
      <c r="Q183" s="258"/>
    </row>
    <row r="184" spans="1:17" ht="15" customHeight="1" x14ac:dyDescent="0.45">
      <c r="A184" s="788"/>
      <c r="B184" s="781"/>
      <c r="C184" s="779"/>
      <c r="D184" s="283">
        <f>Arbejdsark!O353</f>
        <v>1</v>
      </c>
      <c r="E184" s="283">
        <f>D183-D184</f>
        <v>0</v>
      </c>
      <c r="F184" s="283" t="str">
        <f>IF(Projektforudsætninger!B14="Ja",Arbejdsark!U353,"-")</f>
        <v>-</v>
      </c>
      <c r="G184" s="283" t="str">
        <f>IF(Projektforudsætninger!$B$14="Ja",F183-F184,"-")</f>
        <v>-</v>
      </c>
      <c r="H184" s="239" t="s">
        <v>499</v>
      </c>
      <c r="I184" s="250" t="str">
        <f>IF('Sortering af spørgsmål'!$C$22=Projektforudsætninger!$C$20,"","-")</f>
        <v>-</v>
      </c>
      <c r="J184" s="250" t="str">
        <f>IF('Sortering af spørgsmål'!$C$22=Projektforudsætninger!$C$21,"","-")</f>
        <v>-</v>
      </c>
      <c r="K184" s="250" t="str">
        <f>IF('Sortering af spørgsmål'!$C$22=Projektforudsætninger!$C$22,"","-")</f>
        <v>-</v>
      </c>
      <c r="L184" s="250" t="str">
        <f>IF('Sortering af spørgsmål'!$C$22=Projektforudsætninger!$C$23,"","-")</f>
        <v>-</v>
      </c>
      <c r="M184" s="250" t="str">
        <f>IF('Sortering af spørgsmål'!$C$22=Projektforudsætninger!$C$24,"","-")</f>
        <v>-</v>
      </c>
      <c r="N184" s="250" t="str">
        <f>IF('Sortering af spørgsmål'!$C$22=Projektforudsætninger!$C$25,"","-")</f>
        <v>-</v>
      </c>
      <c r="O184" s="250" t="str">
        <f>IF('Sortering af spørgsmål'!$C$22=Projektforudsætninger!$C$26,"","-")</f>
        <v>-</v>
      </c>
      <c r="P184" s="250" t="str">
        <f>IF('Sortering af spørgsmål'!$C$22=Projektforudsætninger!$C$19,"","-")</f>
        <v>-</v>
      </c>
      <c r="Q184" s="259"/>
    </row>
    <row r="185" spans="1:17" ht="15" customHeight="1" x14ac:dyDescent="0.45">
      <c r="A185" s="788"/>
      <c r="B185" s="781"/>
      <c r="C185" s="779"/>
      <c r="D185" s="284">
        <f>Arbejdsark!O354</f>
        <v>0</v>
      </c>
      <c r="E185" s="284">
        <f>D183-D185</f>
        <v>1</v>
      </c>
      <c r="F185" s="284" t="str">
        <f>IF(Projektforudsætninger!B14="Ja",Arbejdsark!U354,"-")</f>
        <v>-</v>
      </c>
      <c r="G185" s="284" t="str">
        <f>IF(Projektforudsætninger!$B$14="Ja",F183-F185,"-")</f>
        <v>-</v>
      </c>
      <c r="H185" s="241" t="s">
        <v>495</v>
      </c>
      <c r="I185" s="251" t="str">
        <f>IF('Sortering af spørgsmål'!$C$22=Projektforudsætninger!$C$20,"","-")</f>
        <v>-</v>
      </c>
      <c r="J185" s="251" t="str">
        <f>IF('Sortering af spørgsmål'!$C$22=Projektforudsætninger!$C$21,"","-")</f>
        <v>-</v>
      </c>
      <c r="K185" s="251" t="str">
        <f>IF('Sortering af spørgsmål'!$C$22=Projektforudsætninger!$C$22,"","-")</f>
        <v>-</v>
      </c>
      <c r="L185" s="251" t="str">
        <f>IF('Sortering af spørgsmål'!$C$22=Projektforudsætninger!$C$23,"","-")</f>
        <v>-</v>
      </c>
      <c r="M185" s="251" t="str">
        <f>IF('Sortering af spørgsmål'!$C$22=Projektforudsætninger!$C$24,"","-")</f>
        <v>-</v>
      </c>
      <c r="N185" s="251" t="str">
        <f>IF('Sortering af spørgsmål'!$C$22=Projektforudsætninger!$C$25,"","-")</f>
        <v>-</v>
      </c>
      <c r="O185" s="251" t="str">
        <f>IF('Sortering af spørgsmål'!$C$22=Projektforudsætninger!$C$26,"","-")</f>
        <v>-</v>
      </c>
      <c r="P185" s="251" t="str">
        <f>IF('Sortering af spørgsmål'!$C$22=Projektforudsætninger!$C$19,"","-")</f>
        <v>-</v>
      </c>
      <c r="Q185" s="259"/>
    </row>
    <row r="186" spans="1:17" s="222" customFormat="1" ht="15" customHeight="1" x14ac:dyDescent="0.45">
      <c r="A186" s="788"/>
      <c r="B186" s="781"/>
      <c r="C186" s="779" t="str">
        <f>Arbejdsark!C356</f>
        <v>Garderobe og opbevaringsmuligheder</v>
      </c>
      <c r="D186" s="282">
        <f>Arbejdsark!O357</f>
        <v>1</v>
      </c>
      <c r="E186" s="282">
        <f>D186-D186</f>
        <v>0</v>
      </c>
      <c r="F186" s="282" t="str">
        <f>IF(Projektforudsætninger!B14="Ja",Arbejdsark!U357,"-")</f>
        <v>-</v>
      </c>
      <c r="G186" s="282" t="str">
        <f>IF(Projektforudsætninger!$B$14="Ja",F186-F186,"-")</f>
        <v>-</v>
      </c>
      <c r="H186" s="237" t="s">
        <v>498</v>
      </c>
      <c r="I186" s="249" t="str">
        <f>IF('Sortering af spørgsmål'!$C$22=Projektforudsætninger!$C$20,"","-")</f>
        <v>-</v>
      </c>
      <c r="J186" s="249" t="str">
        <f>IF('Sortering af spørgsmål'!$C$22=Projektforudsætninger!$C$21,"","-")</f>
        <v>-</v>
      </c>
      <c r="K186" s="249" t="str">
        <f>IF('Sortering af spørgsmål'!$C$22=Projektforudsætninger!$C$22,"","-")</f>
        <v>-</v>
      </c>
      <c r="L186" s="249" t="str">
        <f>IF('Sortering af spørgsmål'!$C$22=Projektforudsætninger!$C$23,"","-")</f>
        <v>-</v>
      </c>
      <c r="M186" s="249" t="str">
        <f>IF('Sortering af spørgsmål'!$C$22=Projektforudsætninger!$C$24,"","-")</f>
        <v>-</v>
      </c>
      <c r="N186" s="249" t="str">
        <f>IF('Sortering af spørgsmål'!$C$22=Projektforudsætninger!$C$25,"","-")</f>
        <v>-</v>
      </c>
      <c r="O186" s="249" t="str">
        <f>IF('Sortering af spørgsmål'!$C$22=Projektforudsætninger!$C$26,"","-")</f>
        <v>-</v>
      </c>
      <c r="P186" s="249" t="str">
        <f>IF('Sortering af spørgsmål'!$C$22=Projektforudsætninger!$C$19,"","-")</f>
        <v>-</v>
      </c>
      <c r="Q186" s="258"/>
    </row>
    <row r="187" spans="1:17" ht="15" customHeight="1" x14ac:dyDescent="0.45">
      <c r="A187" s="788"/>
      <c r="B187" s="781"/>
      <c r="C187" s="779"/>
      <c r="D187" s="283">
        <f>Arbejdsark!O358</f>
        <v>1</v>
      </c>
      <c r="E187" s="283">
        <v>0</v>
      </c>
      <c r="F187" s="283" t="str">
        <f>IF(Projektforudsætninger!B14="Ja",Arbejdsark!U358,"-")</f>
        <v>-</v>
      </c>
      <c r="G187" s="283" t="str">
        <f>IF(Projektforudsætninger!$B$14="Ja",F186-F187,"-")</f>
        <v>-</v>
      </c>
      <c r="H187" s="239" t="s">
        <v>499</v>
      </c>
      <c r="I187" s="250" t="str">
        <f>IF('Sortering af spørgsmål'!$C$22=Projektforudsætninger!$C$20,"","-")</f>
        <v>-</v>
      </c>
      <c r="J187" s="250" t="str">
        <f>IF('Sortering af spørgsmål'!$C$22=Projektforudsætninger!$C$21,"","-")</f>
        <v>-</v>
      </c>
      <c r="K187" s="250" t="str">
        <f>IF('Sortering af spørgsmål'!$C$22=Projektforudsætninger!$C$22,"","-")</f>
        <v>-</v>
      </c>
      <c r="L187" s="250" t="str">
        <f>IF('Sortering af spørgsmål'!$C$22=Projektforudsætninger!$C$23,"","-")</f>
        <v>-</v>
      </c>
      <c r="M187" s="250" t="str">
        <f>IF('Sortering af spørgsmål'!$C$22=Projektforudsætninger!$C$24,"","-")</f>
        <v>-</v>
      </c>
      <c r="N187" s="250" t="str">
        <f>IF('Sortering af spørgsmål'!$C$22=Projektforudsætninger!$C$25,"","-")</f>
        <v>-</v>
      </c>
      <c r="O187" s="250" t="str">
        <f>IF('Sortering af spørgsmål'!$C$22=Projektforudsætninger!$C$26,"","-")</f>
        <v>-</v>
      </c>
      <c r="P187" s="250" t="str">
        <f>IF('Sortering af spørgsmål'!$C$22=Projektforudsætninger!$C$19,"","-")</f>
        <v>-</v>
      </c>
      <c r="Q187" s="259"/>
    </row>
    <row r="188" spans="1:17" ht="15" customHeight="1" x14ac:dyDescent="0.45">
      <c r="A188" s="788"/>
      <c r="B188" s="781"/>
      <c r="C188" s="779"/>
      <c r="D188" s="284">
        <f>Arbejdsark!O359</f>
        <v>0</v>
      </c>
      <c r="E188" s="284">
        <f>D186-D188</f>
        <v>1</v>
      </c>
      <c r="F188" s="284" t="str">
        <f>IF(Projektforudsætninger!B14="Ja",Arbejdsark!U359,"-")</f>
        <v>-</v>
      </c>
      <c r="G188" s="284" t="str">
        <f>IF(Projektforudsætninger!$B$14="Ja",F186-F188,"-")</f>
        <v>-</v>
      </c>
      <c r="H188" s="241" t="s">
        <v>495</v>
      </c>
      <c r="I188" s="251" t="str">
        <f>IF('Sortering af spørgsmål'!$C$22=Projektforudsætninger!$C$20,"","-")</f>
        <v>-</v>
      </c>
      <c r="J188" s="251" t="str">
        <f>IF('Sortering af spørgsmål'!$C$22=Projektforudsætninger!$C$21,"","-")</f>
        <v>-</v>
      </c>
      <c r="K188" s="251" t="str">
        <f>IF('Sortering af spørgsmål'!$C$22=Projektforudsætninger!$C$22,"","-")</f>
        <v>-</v>
      </c>
      <c r="L188" s="251" t="str">
        <f>IF('Sortering af spørgsmål'!$C$22=Projektforudsætninger!$C$23,"","-")</f>
        <v>-</v>
      </c>
      <c r="M188" s="251" t="str">
        <f>IF('Sortering af spørgsmål'!$C$22=Projektforudsætninger!$C$24,"","-")</f>
        <v>-</v>
      </c>
      <c r="N188" s="251" t="str">
        <f>IF('Sortering af spørgsmål'!$C$22=Projektforudsætninger!$C$25,"","-")</f>
        <v>-</v>
      </c>
      <c r="O188" s="251" t="str">
        <f>IF('Sortering af spørgsmål'!$C$22=Projektforudsætninger!$C$26,"","-")</f>
        <v>-</v>
      </c>
      <c r="P188" s="251" t="str">
        <f>IF('Sortering af spørgsmål'!$C$22=Projektforudsætninger!$C$19,"","-")</f>
        <v>-</v>
      </c>
      <c r="Q188" s="259"/>
    </row>
    <row r="189" spans="1:17" s="222" customFormat="1" ht="15" customHeight="1" x14ac:dyDescent="0.45">
      <c r="A189" s="788"/>
      <c r="B189" s="781"/>
      <c r="C189" s="779" t="str">
        <f>Arbejdsark!C361</f>
        <v>Indkig</v>
      </c>
      <c r="D189" s="282">
        <f>Arbejdsark!O362</f>
        <v>1</v>
      </c>
      <c r="E189" s="282">
        <f>D189-D189</f>
        <v>0</v>
      </c>
      <c r="F189" s="282" t="str">
        <f>IF(Projektforudsætninger!B14="Ja",Arbejdsark!U362,"-")</f>
        <v>-</v>
      </c>
      <c r="G189" s="282" t="str">
        <f>IF(Projektforudsætninger!$B$14="Ja",F189-F189,"-")</f>
        <v>-</v>
      </c>
      <c r="H189" s="237" t="s">
        <v>498</v>
      </c>
      <c r="I189" s="249" t="str">
        <f>IF('Sortering af spørgsmål'!$C$22=Projektforudsætninger!$C$20,"","-")</f>
        <v>-</v>
      </c>
      <c r="J189" s="249" t="str">
        <f>IF('Sortering af spørgsmål'!$C$22=Projektforudsætninger!$C$21,"","-")</f>
        <v>-</v>
      </c>
      <c r="K189" s="249" t="str">
        <f>IF('Sortering af spørgsmål'!$C$22=Projektforudsætninger!$C$22,"","-")</f>
        <v>-</v>
      </c>
      <c r="L189" s="249" t="str">
        <f>IF('Sortering af spørgsmål'!$C$22=Projektforudsætninger!$C$23,"","-")</f>
        <v>-</v>
      </c>
      <c r="M189" s="249" t="str">
        <f>IF('Sortering af spørgsmål'!$C$22=Projektforudsætninger!$C$24,"","-")</f>
        <v>-</v>
      </c>
      <c r="N189" s="249" t="str">
        <f>IF('Sortering af spørgsmål'!$C$22=Projektforudsætninger!$C$25,"","-")</f>
        <v>-</v>
      </c>
      <c r="O189" s="249" t="str">
        <f>IF('Sortering af spørgsmål'!$C$22=Projektforudsætninger!$C$26,"","-")</f>
        <v>-</v>
      </c>
      <c r="P189" s="249" t="str">
        <f>IF('Sortering af spørgsmål'!$C$22=Projektforudsætninger!$C$19,"","-")</f>
        <v>-</v>
      </c>
      <c r="Q189" s="258"/>
    </row>
    <row r="190" spans="1:17" ht="15" customHeight="1" x14ac:dyDescent="0.45">
      <c r="A190" s="788"/>
      <c r="B190" s="781"/>
      <c r="C190" s="779"/>
      <c r="D190" s="283">
        <f>Arbejdsark!O363</f>
        <v>1</v>
      </c>
      <c r="E190" s="283">
        <f>D189-D190</f>
        <v>0</v>
      </c>
      <c r="F190" s="283" t="str">
        <f>IF(Projektforudsætninger!B14="Ja",Arbejdsark!U363,"-")</f>
        <v>-</v>
      </c>
      <c r="G190" s="283" t="str">
        <f>IF(Projektforudsætninger!$B$14="Ja",F189-F190,"-")</f>
        <v>-</v>
      </c>
      <c r="H190" s="239" t="s">
        <v>499</v>
      </c>
      <c r="I190" s="250" t="str">
        <f>IF('Sortering af spørgsmål'!$C$22=Projektforudsætninger!$C$20,"","-")</f>
        <v>-</v>
      </c>
      <c r="J190" s="250" t="str">
        <f>IF('Sortering af spørgsmål'!$C$22=Projektforudsætninger!$C$21,"","-")</f>
        <v>-</v>
      </c>
      <c r="K190" s="250" t="str">
        <f>IF('Sortering af spørgsmål'!$C$22=Projektforudsætninger!$C$22,"","-")</f>
        <v>-</v>
      </c>
      <c r="L190" s="250" t="str">
        <f>IF('Sortering af spørgsmål'!$C$22=Projektforudsætninger!$C$23,"","-")</f>
        <v>-</v>
      </c>
      <c r="M190" s="250" t="str">
        <f>IF('Sortering af spørgsmål'!$C$22=Projektforudsætninger!$C$24,"","-")</f>
        <v>-</v>
      </c>
      <c r="N190" s="250" t="str">
        <f>IF('Sortering af spørgsmål'!$C$22=Projektforudsætninger!$C$25,"","-")</f>
        <v>-</v>
      </c>
      <c r="O190" s="250" t="str">
        <f>IF('Sortering af spørgsmål'!$C$22=Projektforudsætninger!$C$26,"","-")</f>
        <v>-</v>
      </c>
      <c r="P190" s="250" t="str">
        <f>IF('Sortering af spørgsmål'!$C$22=Projektforudsætninger!$C$19,"","-")</f>
        <v>-</v>
      </c>
      <c r="Q190" s="259"/>
    </row>
    <row r="191" spans="1:17" ht="15" customHeight="1" x14ac:dyDescent="0.45">
      <c r="A191" s="788"/>
      <c r="B191" s="781"/>
      <c r="C191" s="779"/>
      <c r="D191" s="284">
        <f>Arbejdsark!O364</f>
        <v>0</v>
      </c>
      <c r="E191" s="284">
        <f>D189-D191</f>
        <v>1</v>
      </c>
      <c r="F191" s="284" t="str">
        <f>IF(Projektforudsætninger!B14="Ja",Arbejdsark!U364,"-")</f>
        <v>-</v>
      </c>
      <c r="G191" s="284" t="str">
        <f>IF(Projektforudsætninger!$B$14="Ja",F189-F191,"-")</f>
        <v>-</v>
      </c>
      <c r="H191" s="241" t="s">
        <v>495</v>
      </c>
      <c r="I191" s="251" t="str">
        <f>IF('Sortering af spørgsmål'!$C$22=Projektforudsætninger!$C$20,"","-")</f>
        <v>-</v>
      </c>
      <c r="J191" s="251" t="str">
        <f>IF('Sortering af spørgsmål'!$C$22=Projektforudsætninger!$C$21,"","-")</f>
        <v>-</v>
      </c>
      <c r="K191" s="251" t="str">
        <f>IF('Sortering af spørgsmål'!$C$22=Projektforudsætninger!$C$22,"","-")</f>
        <v>-</v>
      </c>
      <c r="L191" s="251" t="str">
        <f>IF('Sortering af spørgsmål'!$C$22=Projektforudsætninger!$C$23,"","-")</f>
        <v>-</v>
      </c>
      <c r="M191" s="251" t="str">
        <f>IF('Sortering af spørgsmål'!$C$22=Projektforudsætninger!$C$24,"","-")</f>
        <v>-</v>
      </c>
      <c r="N191" s="251" t="str">
        <f>IF('Sortering af spørgsmål'!$C$22=Projektforudsætninger!$C$25,"","-")</f>
        <v>-</v>
      </c>
      <c r="O191" s="251" t="str">
        <f>IF('Sortering af spørgsmål'!$C$22=Projektforudsætninger!$C$26,"","-")</f>
        <v>-</v>
      </c>
      <c r="P191" s="251" t="str">
        <f>IF('Sortering af spørgsmål'!$C$22=Projektforudsætninger!$C$19,"","-")</f>
        <v>-</v>
      </c>
      <c r="Q191" s="259"/>
    </row>
    <row r="192" spans="1:17" s="222" customFormat="1" ht="15" customHeight="1" x14ac:dyDescent="0.45">
      <c r="A192" s="788"/>
      <c r="B192" s="781"/>
      <c r="C192" s="779" t="str">
        <f>Arbejdsark!C371</f>
        <v>Adgangsveje til udearealer fra boligen</v>
      </c>
      <c r="D192" s="282">
        <f>Arbejdsark!O372</f>
        <v>1</v>
      </c>
      <c r="E192" s="282">
        <f>D192-D192</f>
        <v>0</v>
      </c>
      <c r="F192" s="282" t="str">
        <f>IF(Projektforudsætninger!B14="Ja",Arbejdsark!U372,"-")</f>
        <v>-</v>
      </c>
      <c r="G192" s="282" t="str">
        <f>IF(Projektforudsætninger!$B$14="Ja",F192-F192,"-")</f>
        <v>-</v>
      </c>
      <c r="H192" s="237" t="s">
        <v>498</v>
      </c>
      <c r="I192" s="249" t="str">
        <f>IF('Sortering af spørgsmål'!$C$22=Projektforudsætninger!$C$20,"","-")</f>
        <v>-</v>
      </c>
      <c r="J192" s="249" t="str">
        <f>IF('Sortering af spørgsmål'!$C$22=Projektforudsætninger!$C$21,"","-")</f>
        <v>-</v>
      </c>
      <c r="K192" s="249" t="str">
        <f>IF('Sortering af spørgsmål'!$C$22=Projektforudsætninger!$C$22,"","-")</f>
        <v>-</v>
      </c>
      <c r="L192" s="249" t="str">
        <f>IF('Sortering af spørgsmål'!$C$22=Projektforudsætninger!$C$23,"","-")</f>
        <v>-</v>
      </c>
      <c r="M192" s="249" t="str">
        <f>IF('Sortering af spørgsmål'!$C$22=Projektforudsætninger!$C$24,"","-")</f>
        <v>-</v>
      </c>
      <c r="N192" s="249" t="str">
        <f>IF('Sortering af spørgsmål'!$C$22=Projektforudsætninger!$C$25,"","-")</f>
        <v>-</v>
      </c>
      <c r="O192" s="249" t="str">
        <f>IF('Sortering af spørgsmål'!$C$22=Projektforudsætninger!$C$26,"","-")</f>
        <v>-</v>
      </c>
      <c r="P192" s="249" t="str">
        <f>IF('Sortering af spørgsmål'!$C$22=Projektforudsætninger!$C$19,"","-")</f>
        <v>-</v>
      </c>
      <c r="Q192" s="258"/>
    </row>
    <row r="193" spans="1:17" ht="15" customHeight="1" x14ac:dyDescent="0.45">
      <c r="A193" s="788"/>
      <c r="B193" s="781"/>
      <c r="C193" s="779"/>
      <c r="D193" s="283">
        <f>Arbejdsark!O373</f>
        <v>1</v>
      </c>
      <c r="E193" s="283">
        <f>D192-D193</f>
        <v>0</v>
      </c>
      <c r="F193" s="283" t="str">
        <f>IF(Projektforudsætninger!B14="Ja",Arbejdsark!U373,"-")</f>
        <v>-</v>
      </c>
      <c r="G193" s="283" t="str">
        <f>IF(Projektforudsætninger!$B$14="Ja",F192-F193,"-")</f>
        <v>-</v>
      </c>
      <c r="H193" s="239" t="s">
        <v>499</v>
      </c>
      <c r="I193" s="250" t="str">
        <f>IF('Sortering af spørgsmål'!$C$22=Projektforudsætninger!$C$20,"","-")</f>
        <v>-</v>
      </c>
      <c r="J193" s="250" t="str">
        <f>IF('Sortering af spørgsmål'!$C$22=Projektforudsætninger!$C$21,"","-")</f>
        <v>-</v>
      </c>
      <c r="K193" s="250" t="str">
        <f>IF('Sortering af spørgsmål'!$C$22=Projektforudsætninger!$C$22,"","-")</f>
        <v>-</v>
      </c>
      <c r="L193" s="250" t="str">
        <f>IF('Sortering af spørgsmål'!$C$22=Projektforudsætninger!$C$23,"","-")</f>
        <v>-</v>
      </c>
      <c r="M193" s="250" t="str">
        <f>IF('Sortering af spørgsmål'!$C$22=Projektforudsætninger!$C$24,"","-")</f>
        <v>-</v>
      </c>
      <c r="N193" s="250" t="str">
        <f>IF('Sortering af spørgsmål'!$C$22=Projektforudsætninger!$C$25,"","-")</f>
        <v>-</v>
      </c>
      <c r="O193" s="250" t="str">
        <f>IF('Sortering af spørgsmål'!$C$22=Projektforudsætninger!$C$26,"","-")</f>
        <v>-</v>
      </c>
      <c r="P193" s="250" t="str">
        <f>IF('Sortering af spørgsmål'!$C$22=Projektforudsætninger!$C$19,"","-")</f>
        <v>-</v>
      </c>
      <c r="Q193" s="259"/>
    </row>
    <row r="194" spans="1:17" ht="15" customHeight="1" x14ac:dyDescent="0.45">
      <c r="A194" s="788"/>
      <c r="B194" s="782"/>
      <c r="C194" s="779"/>
      <c r="D194" s="284">
        <f>Arbejdsark!O374</f>
        <v>0</v>
      </c>
      <c r="E194" s="284">
        <f>D192-D194</f>
        <v>1</v>
      </c>
      <c r="F194" s="284" t="str">
        <f>IF(Projektforudsætninger!B14="Ja",Arbejdsark!U374,"-")</f>
        <v>-</v>
      </c>
      <c r="G194" s="284" t="str">
        <f>IF(Projektforudsætninger!$B$14="Ja",F192-F194,"-")</f>
        <v>-</v>
      </c>
      <c r="H194" s="241" t="s">
        <v>495</v>
      </c>
      <c r="I194" s="251" t="str">
        <f>IF('Sortering af spørgsmål'!$C$22=Projektforudsætninger!$C$20,"","-")</f>
        <v>-</v>
      </c>
      <c r="J194" s="251" t="str">
        <f>IF('Sortering af spørgsmål'!$C$22=Projektforudsætninger!$C$21,"","-")</f>
        <v>-</v>
      </c>
      <c r="K194" s="251" t="str">
        <f>IF('Sortering af spørgsmål'!$C$22=Projektforudsætninger!$C$22,"","-")</f>
        <v>-</v>
      </c>
      <c r="L194" s="251" t="str">
        <f>IF('Sortering af spørgsmål'!$C$22=Projektforudsætninger!$C$23,"","-")</f>
        <v>-</v>
      </c>
      <c r="M194" s="251" t="str">
        <f>IF('Sortering af spørgsmål'!$C$22=Projektforudsætninger!$C$24,"","-")</f>
        <v>-</v>
      </c>
      <c r="N194" s="251" t="str">
        <f>IF('Sortering af spørgsmål'!$C$22=Projektforudsætninger!$C$25,"","-")</f>
        <v>-</v>
      </c>
      <c r="O194" s="251" t="str">
        <f>IF('Sortering af spørgsmål'!$C$22=Projektforudsætninger!$C$26,"","-")</f>
        <v>-</v>
      </c>
      <c r="P194" s="251" t="str">
        <f>IF('Sortering af spørgsmål'!$C$22=Projektforudsætninger!$C$19,"","-")</f>
        <v>-</v>
      </c>
      <c r="Q194" s="259"/>
    </row>
    <row r="195" spans="1:17" s="222" customFormat="1" ht="15" customHeight="1" x14ac:dyDescent="0.45">
      <c r="A195" s="783" t="str">
        <f>'Dialogpart 1'!A110:K110</f>
        <v>TEKNISK KVALITET</v>
      </c>
      <c r="B195" s="780" t="str">
        <f>Arbejdsark!A378</f>
        <v>Personsikkerhed</v>
      </c>
      <c r="C195" s="779" t="str">
        <f>Arbejdsark!C378</f>
        <v>Brandsikkerhed</v>
      </c>
      <c r="D195" s="282">
        <f>Arbejdsark!O379</f>
        <v>6</v>
      </c>
      <c r="E195" s="282">
        <f>D195-D195</f>
        <v>0</v>
      </c>
      <c r="F195" s="282" t="str">
        <f>IF(Projektforudsætninger!B14="Ja",Arbejdsark!U379,"-")</f>
        <v>-</v>
      </c>
      <c r="G195" s="282" t="str">
        <f>IF(Projektforudsætninger!$B$14="Ja",F195-F195,"-")</f>
        <v>-</v>
      </c>
      <c r="H195" s="237" t="s">
        <v>498</v>
      </c>
      <c r="I195" s="249" t="str">
        <f>IF('Sortering af spørgsmål'!$C$23=Projektforudsætninger!$C$20,"","-")</f>
        <v>-</v>
      </c>
      <c r="J195" s="249" t="str">
        <f>IF('Sortering af spørgsmål'!$C$23=Projektforudsætninger!$C$21,"","-")</f>
        <v>-</v>
      </c>
      <c r="K195" s="249" t="str">
        <f>IF('Sortering af spørgsmål'!$C$23=Projektforudsætninger!$C$22,"","-")</f>
        <v>-</v>
      </c>
      <c r="L195" s="249" t="str">
        <f>IF('Sortering af spørgsmål'!$C$23=Projektforudsætninger!$C$23,"","-")</f>
        <v>-</v>
      </c>
      <c r="M195" s="249" t="str">
        <f>IF('Sortering af spørgsmål'!$C$23=Projektforudsætninger!$C$24,"","-")</f>
        <v>-</v>
      </c>
      <c r="N195" s="249" t="str">
        <f>IF('Sortering af spørgsmål'!$C$23=Projektforudsætninger!$C$25,"","-")</f>
        <v>-</v>
      </c>
      <c r="O195" s="249" t="str">
        <f>IF('Sortering af spørgsmål'!$C$23=Projektforudsætninger!$C$26,"","-")</f>
        <v>-</v>
      </c>
      <c r="P195" s="249" t="str">
        <f>IF('Sortering af spørgsmål'!$C$23=Projektforudsætninger!$C$19,"","-")</f>
        <v>-</v>
      </c>
      <c r="Q195" s="258"/>
    </row>
    <row r="196" spans="1:17" ht="15" customHeight="1" x14ac:dyDescent="0.45">
      <c r="A196" s="784"/>
      <c r="B196" s="781"/>
      <c r="C196" s="779"/>
      <c r="D196" s="283">
        <f>Arbejdsark!O380</f>
        <v>5</v>
      </c>
      <c r="E196" s="283">
        <f>D195-D196</f>
        <v>1</v>
      </c>
      <c r="F196" s="283" t="str">
        <f>IF(Projektforudsætninger!B14="Ja",Arbejdsark!U380,"-")</f>
        <v>-</v>
      </c>
      <c r="G196" s="283" t="str">
        <f>IF(Projektforudsætninger!$B$14="Ja",F195-F196,"-")</f>
        <v>-</v>
      </c>
      <c r="H196" s="239" t="s">
        <v>499</v>
      </c>
      <c r="I196" s="250" t="str">
        <f>IF('Sortering af spørgsmål'!$C$23=Projektforudsætninger!$C$20,"","-")</f>
        <v>-</v>
      </c>
      <c r="J196" s="250" t="str">
        <f>IF('Sortering af spørgsmål'!$C$23=Projektforudsætninger!$C$21,"","-")</f>
        <v>-</v>
      </c>
      <c r="K196" s="250" t="str">
        <f>IF('Sortering af spørgsmål'!$C$23=Projektforudsætninger!$C$22,"","-")</f>
        <v>-</v>
      </c>
      <c r="L196" s="250" t="str">
        <f>IF('Sortering af spørgsmål'!$C$23=Projektforudsætninger!$C$23,"","-")</f>
        <v>-</v>
      </c>
      <c r="M196" s="250" t="str">
        <f>IF('Sortering af spørgsmål'!$C$23=Projektforudsætninger!$C$24,"","-")</f>
        <v>-</v>
      </c>
      <c r="N196" s="250" t="str">
        <f>IF('Sortering af spørgsmål'!$C$23=Projektforudsætninger!$C$25,"","-")</f>
        <v>-</v>
      </c>
      <c r="O196" s="250" t="str">
        <f>IF('Sortering af spørgsmål'!$C$23=Projektforudsætninger!$C$26,"","-")</f>
        <v>-</v>
      </c>
      <c r="P196" s="250" t="str">
        <f>IF('Sortering af spørgsmål'!$C$23=Projektforudsætninger!$C$19,"","-")</f>
        <v>-</v>
      </c>
      <c r="Q196" s="259"/>
    </row>
    <row r="197" spans="1:17" ht="15" customHeight="1" x14ac:dyDescent="0.45">
      <c r="A197" s="784"/>
      <c r="B197" s="781"/>
      <c r="C197" s="779"/>
      <c r="D197" s="284">
        <f>Arbejdsark!O381</f>
        <v>3</v>
      </c>
      <c r="E197" s="284">
        <f>D195-D197</f>
        <v>3</v>
      </c>
      <c r="F197" s="284" t="str">
        <f>IF(Projektforudsætninger!B14="Ja",Arbejdsark!U381,"-")</f>
        <v>-</v>
      </c>
      <c r="G197" s="284" t="str">
        <f>IF(Projektforudsætninger!$B$14="Ja",F195-F197,"-")</f>
        <v>-</v>
      </c>
      <c r="H197" s="241" t="s">
        <v>495</v>
      </c>
      <c r="I197" s="251" t="str">
        <f>IF('Sortering af spørgsmål'!$C$23=Projektforudsætninger!$C$20,"","-")</f>
        <v>-</v>
      </c>
      <c r="J197" s="251" t="str">
        <f>IF('Sortering af spørgsmål'!$C$23=Projektforudsætninger!$C$21,"","-")</f>
        <v>-</v>
      </c>
      <c r="K197" s="251" t="str">
        <f>IF('Sortering af spørgsmål'!$C$23=Projektforudsætninger!$C$22,"","-")</f>
        <v>-</v>
      </c>
      <c r="L197" s="251" t="str">
        <f>IF('Sortering af spørgsmål'!$C$23=Projektforudsætninger!$C$23,"","-")</f>
        <v>-</v>
      </c>
      <c r="M197" s="251" t="str">
        <f>IF('Sortering af spørgsmål'!$C$23=Projektforudsætninger!$C$24,"","-")</f>
        <v>-</v>
      </c>
      <c r="N197" s="251" t="str">
        <f>IF('Sortering af spørgsmål'!$C$23=Projektforudsætninger!$C$25,"","-")</f>
        <v>-</v>
      </c>
      <c r="O197" s="251" t="str">
        <f>IF('Sortering af spørgsmål'!$C$23=Projektforudsætninger!$C$26,"","-")</f>
        <v>-</v>
      </c>
      <c r="P197" s="251" t="str">
        <f>IF('Sortering af spørgsmål'!$C$23=Projektforudsætninger!$C$19,"","-")</f>
        <v>-</v>
      </c>
      <c r="Q197" s="259"/>
    </row>
    <row r="198" spans="1:17" ht="15" customHeight="1" x14ac:dyDescent="0.45">
      <c r="A198" s="784"/>
      <c r="B198" s="781"/>
      <c r="C198" s="789" t="str">
        <f>Arbejdsark!C383</f>
        <v>Indbrudssikring og kriminalpræventive tiltag</v>
      </c>
      <c r="D198" s="282">
        <f>Arbejdsark!O384</f>
        <v>1</v>
      </c>
      <c r="E198" s="282">
        <f>D198-D198</f>
        <v>0</v>
      </c>
      <c r="F198" s="282" t="str">
        <f>IF(Projektforudsætninger!B17="Ja",Arbejdsark!U384,"-")</f>
        <v>-</v>
      </c>
      <c r="G198" s="282" t="str">
        <f>IF(Projektforudsætninger!$B$14="Ja",F198-F198,"-")</f>
        <v>-</v>
      </c>
      <c r="H198" s="237" t="s">
        <v>498</v>
      </c>
      <c r="I198" s="249" t="str">
        <f>IF('Sortering af spørgsmål'!$C$23=Projektforudsætninger!$C$20,"","-")</f>
        <v>-</v>
      </c>
      <c r="J198" s="249" t="str">
        <f>IF('Sortering af spørgsmål'!$C$23=Projektforudsætninger!$C$21,"","-")</f>
        <v>-</v>
      </c>
      <c r="K198" s="249" t="str">
        <f>IF('Sortering af spørgsmål'!$C$23=Projektforudsætninger!$C$22,"","-")</f>
        <v>-</v>
      </c>
      <c r="L198" s="249" t="str">
        <f>IF('Sortering af spørgsmål'!$C$23=Projektforudsætninger!$C$23,"","-")</f>
        <v>-</v>
      </c>
      <c r="M198" s="249" t="str">
        <f>IF('Sortering af spørgsmål'!$C$23=Projektforudsætninger!$C$24,"","-")</f>
        <v>-</v>
      </c>
      <c r="N198" s="249" t="str">
        <f>IF('Sortering af spørgsmål'!$C$23=Projektforudsætninger!$C$25,"","-")</f>
        <v>-</v>
      </c>
      <c r="O198" s="249" t="str">
        <f>IF('Sortering af spørgsmål'!$C$23=Projektforudsætninger!$C$26,"","-")</f>
        <v>-</v>
      </c>
      <c r="P198" s="249" t="str">
        <f>IF('Sortering af spørgsmål'!$C$23=Projektforudsætninger!$C$19,"","-")</f>
        <v>-</v>
      </c>
      <c r="Q198" s="259"/>
    </row>
    <row r="199" spans="1:17" ht="15" customHeight="1" x14ac:dyDescent="0.45">
      <c r="A199" s="784"/>
      <c r="B199" s="781"/>
      <c r="C199" s="790"/>
      <c r="D199" s="283">
        <f>Arbejdsark!O385</f>
        <v>1</v>
      </c>
      <c r="E199" s="283">
        <f>D198-D199</f>
        <v>0</v>
      </c>
      <c r="F199" s="283" t="str">
        <f>IF(Projektforudsætninger!B17="Ja",Arbejdsark!U385,"-")</f>
        <v>-</v>
      </c>
      <c r="G199" s="283" t="str">
        <f>IF(Projektforudsætninger!$B$14="Ja",F198-F199,"-")</f>
        <v>-</v>
      </c>
      <c r="H199" s="239" t="s">
        <v>499</v>
      </c>
      <c r="I199" s="250" t="str">
        <f>IF('Sortering af spørgsmål'!$C$23=Projektforudsætninger!$C$20,"","-")</f>
        <v>-</v>
      </c>
      <c r="J199" s="250" t="str">
        <f>IF('Sortering af spørgsmål'!$C$23=Projektforudsætninger!$C$21,"","-")</f>
        <v>-</v>
      </c>
      <c r="K199" s="250" t="str">
        <f>IF('Sortering af spørgsmål'!$C$23=Projektforudsætninger!$C$22,"","-")</f>
        <v>-</v>
      </c>
      <c r="L199" s="250" t="str">
        <f>IF('Sortering af spørgsmål'!$C$23=Projektforudsætninger!$C$23,"","-")</f>
        <v>-</v>
      </c>
      <c r="M199" s="250" t="str">
        <f>IF('Sortering af spørgsmål'!$C$23=Projektforudsætninger!$C$24,"","-")</f>
        <v>-</v>
      </c>
      <c r="N199" s="250" t="str">
        <f>IF('Sortering af spørgsmål'!$C$23=Projektforudsætninger!$C$25,"","-")</f>
        <v>-</v>
      </c>
      <c r="O199" s="250" t="str">
        <f>IF('Sortering af spørgsmål'!$C$23=Projektforudsætninger!$C$26,"","-")</f>
        <v>-</v>
      </c>
      <c r="P199" s="250" t="str">
        <f>IF('Sortering af spørgsmål'!$C$23=Projektforudsætninger!$C$19,"","-")</f>
        <v>-</v>
      </c>
      <c r="Q199" s="259"/>
    </row>
    <row r="200" spans="1:17" ht="15" customHeight="1" x14ac:dyDescent="0.45">
      <c r="A200" s="784"/>
      <c r="B200" s="782"/>
      <c r="C200" s="791"/>
      <c r="D200" s="284">
        <f>Arbejdsark!O386</f>
        <v>0</v>
      </c>
      <c r="E200" s="284">
        <f>D198-D200</f>
        <v>1</v>
      </c>
      <c r="F200" s="284" t="str">
        <f>IF(Projektforudsætninger!B17="Ja",Arbejdsark!U386,"-")</f>
        <v>-</v>
      </c>
      <c r="G200" s="284" t="str">
        <f>IF(Projektforudsætninger!$B$14="Ja",F198-F200,"-")</f>
        <v>-</v>
      </c>
      <c r="H200" s="241" t="s">
        <v>495</v>
      </c>
      <c r="I200" s="251" t="str">
        <f>IF('Sortering af spørgsmål'!$C$23=Projektforudsætninger!$C$20,"","-")</f>
        <v>-</v>
      </c>
      <c r="J200" s="251" t="str">
        <f>IF('Sortering af spørgsmål'!$C$23=Projektforudsætninger!$C$21,"","-")</f>
        <v>-</v>
      </c>
      <c r="K200" s="251" t="str">
        <f>IF('Sortering af spørgsmål'!$C$23=Projektforudsætninger!$C$22,"","-")</f>
        <v>-</v>
      </c>
      <c r="L200" s="251" t="str">
        <f>IF('Sortering af spørgsmål'!$C$23=Projektforudsætninger!$C$23,"","-")</f>
        <v>-</v>
      </c>
      <c r="M200" s="251" t="str">
        <f>IF('Sortering af spørgsmål'!$C$23=Projektforudsætninger!$C$24,"","-")</f>
        <v>-</v>
      </c>
      <c r="N200" s="251" t="str">
        <f>IF('Sortering af spørgsmål'!$C$23=Projektforudsætninger!$C$25,"","-")</f>
        <v>-</v>
      </c>
      <c r="O200" s="251" t="str">
        <f>IF('Sortering af spørgsmål'!$C$23=Projektforudsætninger!$C$26,"","-")</f>
        <v>-</v>
      </c>
      <c r="P200" s="251" t="str">
        <f>IF('Sortering af spørgsmål'!$C$23=Projektforudsætninger!$C$19,"","-")</f>
        <v>-</v>
      </c>
      <c r="Q200" s="259"/>
    </row>
    <row r="201" spans="1:17" s="222" customFormat="1" ht="15" customHeight="1" x14ac:dyDescent="0.45">
      <c r="A201" s="784"/>
      <c r="B201" s="787" t="str">
        <f>Arbejdsark!A388</f>
        <v>Klimaskærmens kvalitet</v>
      </c>
      <c r="C201" s="779" t="str">
        <f>Arbejdsark!C388</f>
        <v>U-værdier</v>
      </c>
      <c r="D201" s="282">
        <f>Arbejdsark!O389</f>
        <v>4</v>
      </c>
      <c r="E201" s="282">
        <f>D201-D201</f>
        <v>0</v>
      </c>
      <c r="F201" s="282" t="str">
        <f>IF(Projektforudsætninger!B14="Ja",Arbejdsark!U389,"-")</f>
        <v>-</v>
      </c>
      <c r="G201" s="282" t="str">
        <f>IF(Projektforudsætninger!$B$14="Ja",F201-F201,"-")</f>
        <v>-</v>
      </c>
      <c r="H201" s="237" t="s">
        <v>498</v>
      </c>
      <c r="I201" s="249" t="str">
        <f>IF('Sortering af spørgsmål'!$C$24=Projektforudsætninger!$C$20,"","-")</f>
        <v>-</v>
      </c>
      <c r="J201" s="249" t="str">
        <f>IF('Sortering af spørgsmål'!$C$24=Projektforudsætninger!$C$21,"","-")</f>
        <v>-</v>
      </c>
      <c r="K201" s="249" t="str">
        <f>IF('Sortering af spørgsmål'!$C$24=Projektforudsætninger!$C$22,"","-")</f>
        <v>-</v>
      </c>
      <c r="L201" s="249" t="str">
        <f>IF('Sortering af spørgsmål'!$C$24=Projektforudsætninger!$C$23,"","-")</f>
        <v>-</v>
      </c>
      <c r="M201" s="249" t="str">
        <f>IF('Sortering af spørgsmål'!$C$24=Projektforudsætninger!$C$24,"","-")</f>
        <v>-</v>
      </c>
      <c r="N201" s="249" t="str">
        <f>IF('Sortering af spørgsmål'!$C$24=Projektforudsætninger!$C$25,"","-")</f>
        <v>-</v>
      </c>
      <c r="O201" s="249" t="str">
        <f>IF('Sortering af spørgsmål'!$C$24=Projektforudsætninger!$C$26,"","-")</f>
        <v>-</v>
      </c>
      <c r="P201" s="249" t="str">
        <f>IF('Sortering af spørgsmål'!$C$24=Projektforudsætninger!$C$19,"","-")</f>
        <v>-</v>
      </c>
      <c r="Q201" s="258"/>
    </row>
    <row r="202" spans="1:17" ht="15" customHeight="1" x14ac:dyDescent="0.45">
      <c r="A202" s="784"/>
      <c r="B202" s="787"/>
      <c r="C202" s="779"/>
      <c r="D202" s="283">
        <f>Arbejdsark!O390</f>
        <v>3</v>
      </c>
      <c r="E202" s="283">
        <f>D201-D202</f>
        <v>1</v>
      </c>
      <c r="F202" s="283" t="str">
        <f>IF(Projektforudsætninger!B14="Ja",Arbejdsark!U390,"-")</f>
        <v>-</v>
      </c>
      <c r="G202" s="283" t="str">
        <f>IF(Projektforudsætninger!$B$14="Ja",F201-F202,"-")</f>
        <v>-</v>
      </c>
      <c r="H202" s="239" t="s">
        <v>499</v>
      </c>
      <c r="I202" s="250" t="str">
        <f>IF('Sortering af spørgsmål'!$C$24=Projektforudsætninger!$C$20,"","-")</f>
        <v>-</v>
      </c>
      <c r="J202" s="250" t="str">
        <f>IF('Sortering af spørgsmål'!$C$24=Projektforudsætninger!$C$21,"","-")</f>
        <v>-</v>
      </c>
      <c r="K202" s="250" t="str">
        <f>IF('Sortering af spørgsmål'!$C$24=Projektforudsætninger!$C$22,"","-")</f>
        <v>-</v>
      </c>
      <c r="L202" s="250" t="str">
        <f>IF('Sortering af spørgsmål'!$C$24=Projektforudsætninger!$C$23,"","-")</f>
        <v>-</v>
      </c>
      <c r="M202" s="250" t="str">
        <f>IF('Sortering af spørgsmål'!$C$24=Projektforudsætninger!$C$24,"","-")</f>
        <v>-</v>
      </c>
      <c r="N202" s="250" t="str">
        <f>IF('Sortering af spørgsmål'!$C$24=Projektforudsætninger!$C$25,"","-")</f>
        <v>-</v>
      </c>
      <c r="O202" s="250" t="str">
        <f>IF('Sortering af spørgsmål'!$C$24=Projektforudsætninger!$C$26,"","-")</f>
        <v>-</v>
      </c>
      <c r="P202" s="250" t="str">
        <f>IF('Sortering af spørgsmål'!$C$24=Projektforudsætninger!$C$19,"","-")</f>
        <v>-</v>
      </c>
      <c r="Q202" s="259"/>
    </row>
    <row r="203" spans="1:17" ht="15" customHeight="1" x14ac:dyDescent="0.45">
      <c r="A203" s="784"/>
      <c r="B203" s="787"/>
      <c r="C203" s="779"/>
      <c r="D203" s="284">
        <f>Arbejdsark!O391</f>
        <v>1</v>
      </c>
      <c r="E203" s="284">
        <f>D201-D203</f>
        <v>3</v>
      </c>
      <c r="F203" s="284" t="str">
        <f>IF(Projektforudsætninger!B14="Ja",Arbejdsark!U391,"-")</f>
        <v>-</v>
      </c>
      <c r="G203" s="284" t="str">
        <f>IF(Projektforudsætninger!$B$14="Ja",F201-F203,"-")</f>
        <v>-</v>
      </c>
      <c r="H203" s="241" t="s">
        <v>495</v>
      </c>
      <c r="I203" s="251" t="str">
        <f>IF('Sortering af spørgsmål'!$C$24=Projektforudsætninger!$C$20,"","-")</f>
        <v>-</v>
      </c>
      <c r="J203" s="251" t="str">
        <f>IF('Sortering af spørgsmål'!$C$24=Projektforudsætninger!$C$21,"","-")</f>
        <v>-</v>
      </c>
      <c r="K203" s="251" t="str">
        <f>IF('Sortering af spørgsmål'!$C$24=Projektforudsætninger!$C$22,"","-")</f>
        <v>-</v>
      </c>
      <c r="L203" s="251" t="str">
        <f>IF('Sortering af spørgsmål'!$C$24=Projektforudsætninger!$C$23,"","-")</f>
        <v>-</v>
      </c>
      <c r="M203" s="251" t="str">
        <f>IF('Sortering af spørgsmål'!$C$24=Projektforudsætninger!$C$24,"","-")</f>
        <v>-</v>
      </c>
      <c r="N203" s="251" t="str">
        <f>IF('Sortering af spørgsmål'!$C$24=Projektforudsætninger!$C$25,"","-")</f>
        <v>-</v>
      </c>
      <c r="O203" s="251" t="str">
        <f>IF('Sortering af spørgsmål'!$C$24=Projektforudsætninger!$C$26,"","-")</f>
        <v>-</v>
      </c>
      <c r="P203" s="251" t="str">
        <f>IF('Sortering af spørgsmål'!$C$24=Projektforudsætninger!$C$19,"","-")</f>
        <v>-</v>
      </c>
      <c r="Q203" s="259"/>
    </row>
    <row r="204" spans="1:17" s="222" customFormat="1" ht="15" customHeight="1" x14ac:dyDescent="0.45">
      <c r="A204" s="784"/>
      <c r="B204" s="787"/>
      <c r="C204" s="779" t="str">
        <f>Arbejdsark!C393</f>
        <v>Kuldebroer</v>
      </c>
      <c r="D204" s="282">
        <f>Arbejdsark!O394</f>
        <v>2</v>
      </c>
      <c r="E204" s="282">
        <f>D204-D204</f>
        <v>0</v>
      </c>
      <c r="F204" s="282" t="str">
        <f>IF(Projektforudsætninger!B14="Ja",Arbejdsark!U394,"-")</f>
        <v>-</v>
      </c>
      <c r="G204" s="282" t="str">
        <f>IF(Projektforudsætninger!$B$14="Ja",F204-F204,"-")</f>
        <v>-</v>
      </c>
      <c r="H204" s="237" t="s">
        <v>498</v>
      </c>
      <c r="I204" s="249" t="str">
        <f>IF('Sortering af spørgsmål'!$C$24=Projektforudsætninger!$C$20,"","-")</f>
        <v>-</v>
      </c>
      <c r="J204" s="249" t="str">
        <f>IF('Sortering af spørgsmål'!$C$24=Projektforudsætninger!$C$21,"","-")</f>
        <v>-</v>
      </c>
      <c r="K204" s="249" t="str">
        <f>IF('Sortering af spørgsmål'!$C$24=Projektforudsætninger!$C$22,"","-")</f>
        <v>-</v>
      </c>
      <c r="L204" s="249" t="str">
        <f>IF('Sortering af spørgsmål'!$C$24=Projektforudsætninger!$C$23,"","-")</f>
        <v>-</v>
      </c>
      <c r="M204" s="249" t="str">
        <f>IF('Sortering af spørgsmål'!$C$24=Projektforudsætninger!$C$24,"","-")</f>
        <v>-</v>
      </c>
      <c r="N204" s="249" t="str">
        <f>IF('Sortering af spørgsmål'!$C$24=Projektforudsætninger!$C$25,"","-")</f>
        <v>-</v>
      </c>
      <c r="O204" s="249" t="str">
        <f>IF('Sortering af spørgsmål'!$C$24=Projektforudsætninger!$C$26,"","-")</f>
        <v>-</v>
      </c>
      <c r="P204" s="249" t="str">
        <f>IF('Sortering af spørgsmål'!$C$24=Projektforudsætninger!$C$19,"","-")</f>
        <v>-</v>
      </c>
      <c r="Q204" s="258"/>
    </row>
    <row r="205" spans="1:17" ht="15" customHeight="1" x14ac:dyDescent="0.45">
      <c r="A205" s="784"/>
      <c r="B205" s="787"/>
      <c r="C205" s="779"/>
      <c r="D205" s="283">
        <f>Arbejdsark!O395</f>
        <v>1</v>
      </c>
      <c r="E205" s="283">
        <f>D204-D205</f>
        <v>1</v>
      </c>
      <c r="F205" s="283" t="str">
        <f>IF(Projektforudsætninger!B14="Ja",Arbejdsark!U395,"-")</f>
        <v>-</v>
      </c>
      <c r="G205" s="283" t="str">
        <f>IF(Projektforudsætninger!$B$14="Ja",F204-F205,"-")</f>
        <v>-</v>
      </c>
      <c r="H205" s="239" t="s">
        <v>499</v>
      </c>
      <c r="I205" s="250" t="str">
        <f>IF('Sortering af spørgsmål'!$C$24=Projektforudsætninger!$C$20,"","-")</f>
        <v>-</v>
      </c>
      <c r="J205" s="250" t="str">
        <f>IF('Sortering af spørgsmål'!$C$24=Projektforudsætninger!$C$21,"","-")</f>
        <v>-</v>
      </c>
      <c r="K205" s="250" t="str">
        <f>IF('Sortering af spørgsmål'!$C$24=Projektforudsætninger!$C$22,"","-")</f>
        <v>-</v>
      </c>
      <c r="L205" s="250" t="str">
        <f>IF('Sortering af spørgsmål'!$C$24=Projektforudsætninger!$C$23,"","-")</f>
        <v>-</v>
      </c>
      <c r="M205" s="250" t="str">
        <f>IF('Sortering af spørgsmål'!$C$24=Projektforudsætninger!$C$24,"","-")</f>
        <v>-</v>
      </c>
      <c r="N205" s="250" t="str">
        <f>IF('Sortering af spørgsmål'!$C$24=Projektforudsætninger!$C$25,"","-")</f>
        <v>-</v>
      </c>
      <c r="O205" s="250" t="str">
        <f>IF('Sortering af spørgsmål'!$C$24=Projektforudsætninger!$C$26,"","-")</f>
        <v>-</v>
      </c>
      <c r="P205" s="250" t="str">
        <f>IF('Sortering af spørgsmål'!$C$24=Projektforudsætninger!$C$19,"","-")</f>
        <v>-</v>
      </c>
      <c r="Q205" s="259"/>
    </row>
    <row r="206" spans="1:17" ht="15" customHeight="1" x14ac:dyDescent="0.45">
      <c r="A206" s="784"/>
      <c r="B206" s="787"/>
      <c r="C206" s="779"/>
      <c r="D206" s="284">
        <f>Arbejdsark!O396</f>
        <v>0</v>
      </c>
      <c r="E206" s="284">
        <f>D204-D206</f>
        <v>2</v>
      </c>
      <c r="F206" s="284" t="str">
        <f>IF(Projektforudsætninger!B14="Ja",Arbejdsark!U396,"-")</f>
        <v>-</v>
      </c>
      <c r="G206" s="284" t="str">
        <f>IF(Projektforudsætninger!$B$14="Ja",F204-F206,"-")</f>
        <v>-</v>
      </c>
      <c r="H206" s="241" t="s">
        <v>495</v>
      </c>
      <c r="I206" s="251" t="str">
        <f>IF('Sortering af spørgsmål'!$C$24=Projektforudsætninger!$C$20,"","-")</f>
        <v>-</v>
      </c>
      <c r="J206" s="251" t="str">
        <f>IF('Sortering af spørgsmål'!$C$24=Projektforudsætninger!$C$21,"","-")</f>
        <v>-</v>
      </c>
      <c r="K206" s="251" t="str">
        <f>IF('Sortering af spørgsmål'!$C$24=Projektforudsætninger!$C$22,"","-")</f>
        <v>-</v>
      </c>
      <c r="L206" s="251" t="str">
        <f>IF('Sortering af spørgsmål'!$C$24=Projektforudsætninger!$C$23,"","-")</f>
        <v>-</v>
      </c>
      <c r="M206" s="251" t="str">
        <f>IF('Sortering af spørgsmål'!$C$24=Projektforudsætninger!$C$24,"","-")</f>
        <v>-</v>
      </c>
      <c r="N206" s="251" t="str">
        <f>IF('Sortering af spørgsmål'!$C$24=Projektforudsætninger!$C$25,"","-")</f>
        <v>-</v>
      </c>
      <c r="O206" s="251" t="str">
        <f>IF('Sortering af spørgsmål'!$C$24=Projektforudsætninger!$C$26,"","-")</f>
        <v>-</v>
      </c>
      <c r="P206" s="251" t="str">
        <f>IF('Sortering af spørgsmål'!$C$24=Projektforudsætninger!$C$19,"","-")</f>
        <v>-</v>
      </c>
      <c r="Q206" s="259"/>
    </row>
    <row r="207" spans="1:17" s="222" customFormat="1" ht="15" customHeight="1" x14ac:dyDescent="0.45">
      <c r="A207" s="784"/>
      <c r="B207" s="787"/>
      <c r="C207" s="779" t="str">
        <f>Arbejdsark!C398</f>
        <v>Varmetab</v>
      </c>
      <c r="D207" s="282">
        <f>Arbejdsark!O399</f>
        <v>2</v>
      </c>
      <c r="E207" s="282">
        <f>D207-D207</f>
        <v>0</v>
      </c>
      <c r="F207" s="282" t="str">
        <f>IF(Projektforudsætninger!B14="Ja",Arbejdsark!U399,"-")</f>
        <v>-</v>
      </c>
      <c r="G207" s="282" t="str">
        <f>IF(Projektforudsætninger!$B$14="Ja",F207-F207,"-")</f>
        <v>-</v>
      </c>
      <c r="H207" s="237" t="s">
        <v>498</v>
      </c>
      <c r="I207" s="249" t="str">
        <f>IF('Sortering af spørgsmål'!$C$24=Projektforudsætninger!$C$20,"","-")</f>
        <v>-</v>
      </c>
      <c r="J207" s="249" t="str">
        <f>IF('Sortering af spørgsmål'!$C$24=Projektforudsætninger!$C$21,"","-")</f>
        <v>-</v>
      </c>
      <c r="K207" s="249" t="str">
        <f>IF('Sortering af spørgsmål'!$C$24=Projektforudsætninger!$C$22,"","-")</f>
        <v>-</v>
      </c>
      <c r="L207" s="249" t="str">
        <f>IF('Sortering af spørgsmål'!$C$24=Projektforudsætninger!$C$23,"","-")</f>
        <v>-</v>
      </c>
      <c r="M207" s="249" t="str">
        <f>IF('Sortering af spørgsmål'!$C$24=Projektforudsætninger!$C$24,"","-")</f>
        <v>-</v>
      </c>
      <c r="N207" s="249" t="str">
        <f>IF('Sortering af spørgsmål'!$C$24=Projektforudsætninger!$C$25,"","-")</f>
        <v>-</v>
      </c>
      <c r="O207" s="249" t="str">
        <f>IF('Sortering af spørgsmål'!$C$24=Projektforudsætninger!$C$26,"","-")</f>
        <v>-</v>
      </c>
      <c r="P207" s="249" t="str">
        <f>IF('Sortering af spørgsmål'!$C$24=Projektforudsætninger!$C$19,"","-")</f>
        <v>-</v>
      </c>
      <c r="Q207" s="258"/>
    </row>
    <row r="208" spans="1:17" ht="15" customHeight="1" x14ac:dyDescent="0.45">
      <c r="A208" s="784"/>
      <c r="B208" s="787"/>
      <c r="C208" s="779"/>
      <c r="D208" s="283">
        <f>Arbejdsark!O400</f>
        <v>1</v>
      </c>
      <c r="E208" s="283">
        <f>D207-D208</f>
        <v>1</v>
      </c>
      <c r="F208" s="283" t="str">
        <f>IF(Projektforudsætninger!B14="Ja",Arbejdsark!U400,"-")</f>
        <v>-</v>
      </c>
      <c r="G208" s="283" t="str">
        <f>IF(Projektforudsætninger!$B$14="Ja",F207-F208,"-")</f>
        <v>-</v>
      </c>
      <c r="H208" s="239" t="s">
        <v>499</v>
      </c>
      <c r="I208" s="250" t="str">
        <f>IF('Sortering af spørgsmål'!$C$24=Projektforudsætninger!$C$20,"","-")</f>
        <v>-</v>
      </c>
      <c r="J208" s="250" t="str">
        <f>IF('Sortering af spørgsmål'!$C$24=Projektforudsætninger!$C$21,"","-")</f>
        <v>-</v>
      </c>
      <c r="K208" s="250" t="str">
        <f>IF('Sortering af spørgsmål'!$C$24=Projektforudsætninger!$C$22,"","-")</f>
        <v>-</v>
      </c>
      <c r="L208" s="250" t="str">
        <f>IF('Sortering af spørgsmål'!$C$24=Projektforudsætninger!$C$23,"","-")</f>
        <v>-</v>
      </c>
      <c r="M208" s="250" t="str">
        <f>IF('Sortering af spørgsmål'!$C$24=Projektforudsætninger!$C$24,"","-")</f>
        <v>-</v>
      </c>
      <c r="N208" s="250" t="str">
        <f>IF('Sortering af spørgsmål'!$C$24=Projektforudsætninger!$C$25,"","-")</f>
        <v>-</v>
      </c>
      <c r="O208" s="250" t="str">
        <f>IF('Sortering af spørgsmål'!$C$24=Projektforudsætninger!$C$26,"","-")</f>
        <v>-</v>
      </c>
      <c r="P208" s="250" t="str">
        <f>IF('Sortering af spørgsmål'!$C$24=Projektforudsætninger!$C$19,"","-")</f>
        <v>-</v>
      </c>
      <c r="Q208" s="259"/>
    </row>
    <row r="209" spans="1:17" ht="15" customHeight="1" x14ac:dyDescent="0.45">
      <c r="A209" s="784"/>
      <c r="B209" s="787"/>
      <c r="C209" s="779"/>
      <c r="D209" s="284">
        <f>Arbejdsark!O401</f>
        <v>0</v>
      </c>
      <c r="E209" s="284">
        <f>D207-D209</f>
        <v>2</v>
      </c>
      <c r="F209" s="284" t="str">
        <f>IF(Projektforudsætninger!B14="Ja",Arbejdsark!U401,"-")</f>
        <v>-</v>
      </c>
      <c r="G209" s="284" t="str">
        <f>IF(Projektforudsætninger!$B$14="Ja",F207-F209,"-")</f>
        <v>-</v>
      </c>
      <c r="H209" s="241" t="s">
        <v>495</v>
      </c>
      <c r="I209" s="251" t="str">
        <f>IF('Sortering af spørgsmål'!$C$24=Projektforudsætninger!$C$20,"","-")</f>
        <v>-</v>
      </c>
      <c r="J209" s="251" t="str">
        <f>IF('Sortering af spørgsmål'!$C$24=Projektforudsætninger!$C$21,"","-")</f>
        <v>-</v>
      </c>
      <c r="K209" s="251" t="str">
        <f>IF('Sortering af spørgsmål'!$C$24=Projektforudsætninger!$C$22,"","-")</f>
        <v>-</v>
      </c>
      <c r="L209" s="251" t="str">
        <f>IF('Sortering af spørgsmål'!$C$24=Projektforudsætninger!$C$23,"","-")</f>
        <v>-</v>
      </c>
      <c r="M209" s="251" t="str">
        <f>IF('Sortering af spørgsmål'!$C$24=Projektforudsætninger!$C$24,"","-")</f>
        <v>-</v>
      </c>
      <c r="N209" s="251" t="str">
        <f>IF('Sortering af spørgsmål'!$C$24=Projektforudsætninger!$C$25,"","-")</f>
        <v>-</v>
      </c>
      <c r="O209" s="251" t="str">
        <f>IF('Sortering af spørgsmål'!$C$24=Projektforudsætninger!$C$26,"","-")</f>
        <v>-</v>
      </c>
      <c r="P209" s="251" t="str">
        <f>IF('Sortering af spørgsmål'!$C$24=Projektforudsætninger!$C$19,"","-")</f>
        <v>-</v>
      </c>
      <c r="Q209" s="259"/>
    </row>
    <row r="210" spans="1:17" s="222" customFormat="1" ht="15" customHeight="1" x14ac:dyDescent="0.45">
      <c r="A210" s="784"/>
      <c r="B210" s="787"/>
      <c r="C210" s="779" t="str">
        <f>Arbejdsark!C403</f>
        <v>Forebyggelse af fugt i vinduesrammer</v>
      </c>
      <c r="D210" s="282">
        <f>Arbejdsark!O404</f>
        <v>2</v>
      </c>
      <c r="E210" s="282">
        <f>D210-D210</f>
        <v>0</v>
      </c>
      <c r="F210" s="282" t="str">
        <f>IF(Projektforudsætninger!B14="Ja",Arbejdsark!U404,"-")</f>
        <v>-</v>
      </c>
      <c r="G210" s="282" t="str">
        <f>IF(Projektforudsætninger!$B$14="Ja",F210-F210,"-")</f>
        <v>-</v>
      </c>
      <c r="H210" s="237" t="s">
        <v>498</v>
      </c>
      <c r="I210" s="249" t="str">
        <f>IF('Sortering af spørgsmål'!$C$24=Projektforudsætninger!$C$20,"","-")</f>
        <v>-</v>
      </c>
      <c r="J210" s="249" t="str">
        <f>IF('Sortering af spørgsmål'!$C$24=Projektforudsætninger!$C$21,"","-")</f>
        <v>-</v>
      </c>
      <c r="K210" s="249" t="str">
        <f>IF('Sortering af spørgsmål'!$C$24=Projektforudsætninger!$C$22,"","-")</f>
        <v>-</v>
      </c>
      <c r="L210" s="249" t="str">
        <f>IF('Sortering af spørgsmål'!$C$24=Projektforudsætninger!$C$23,"","-")</f>
        <v>-</v>
      </c>
      <c r="M210" s="249" t="str">
        <f>IF('Sortering af spørgsmål'!$C$24=Projektforudsætninger!$C$24,"","-")</f>
        <v>-</v>
      </c>
      <c r="N210" s="249" t="str">
        <f>IF('Sortering af spørgsmål'!$C$24=Projektforudsætninger!$C$25,"","-")</f>
        <v>-</v>
      </c>
      <c r="O210" s="249" t="str">
        <f>IF('Sortering af spørgsmål'!$C$24=Projektforudsætninger!$C$26,"","-")</f>
        <v>-</v>
      </c>
      <c r="P210" s="249" t="str">
        <f>IF('Sortering af spørgsmål'!$C$24=Projektforudsætninger!$C$19,"","-")</f>
        <v>-</v>
      </c>
      <c r="Q210" s="258"/>
    </row>
    <row r="211" spans="1:17" ht="15" customHeight="1" x14ac:dyDescent="0.45">
      <c r="A211" s="784"/>
      <c r="B211" s="787"/>
      <c r="C211" s="779"/>
      <c r="D211" s="283">
        <f>Arbejdsark!O405</f>
        <v>1</v>
      </c>
      <c r="E211" s="283">
        <f>D210-D211</f>
        <v>1</v>
      </c>
      <c r="F211" s="283" t="str">
        <f>IF(Projektforudsætninger!B14="Ja",Arbejdsark!U405,"-")</f>
        <v>-</v>
      </c>
      <c r="G211" s="283" t="str">
        <f>IF(Projektforudsætninger!$B$14="Ja",F210-F211,"-")</f>
        <v>-</v>
      </c>
      <c r="H211" s="239" t="s">
        <v>499</v>
      </c>
      <c r="I211" s="250" t="str">
        <f>IF('Sortering af spørgsmål'!$C$24=Projektforudsætninger!$C$20,"","-")</f>
        <v>-</v>
      </c>
      <c r="J211" s="250" t="str">
        <f>IF('Sortering af spørgsmål'!$C$24=Projektforudsætninger!$C$21,"","-")</f>
        <v>-</v>
      </c>
      <c r="K211" s="250" t="str">
        <f>IF('Sortering af spørgsmål'!$C$24=Projektforudsætninger!$C$22,"","-")</f>
        <v>-</v>
      </c>
      <c r="L211" s="250" t="str">
        <f>IF('Sortering af spørgsmål'!$C$24=Projektforudsætninger!$C$23,"","-")</f>
        <v>-</v>
      </c>
      <c r="M211" s="250" t="str">
        <f>IF('Sortering af spørgsmål'!$C$24=Projektforudsætninger!$C$24,"","-")</f>
        <v>-</v>
      </c>
      <c r="N211" s="250" t="str">
        <f>IF('Sortering af spørgsmål'!$C$24=Projektforudsætninger!$C$25,"","-")</f>
        <v>-</v>
      </c>
      <c r="O211" s="250" t="str">
        <f>IF('Sortering af spørgsmål'!$C$24=Projektforudsætninger!$C$26,"","-")</f>
        <v>-</v>
      </c>
      <c r="P211" s="250" t="str">
        <f>IF('Sortering af spørgsmål'!$C$24=Projektforudsætninger!$C$19,"","-")</f>
        <v>-</v>
      </c>
      <c r="Q211" s="259"/>
    </row>
    <row r="212" spans="1:17" ht="15" customHeight="1" x14ac:dyDescent="0.45">
      <c r="A212" s="784"/>
      <c r="B212" s="787"/>
      <c r="C212" s="779"/>
      <c r="D212" s="284">
        <f>Arbejdsark!O406</f>
        <v>0</v>
      </c>
      <c r="E212" s="284">
        <f>D210-D212</f>
        <v>2</v>
      </c>
      <c r="F212" s="284" t="str">
        <f>IF(Projektforudsætninger!B14="Ja",Arbejdsark!U406,"-")</f>
        <v>-</v>
      </c>
      <c r="G212" s="284" t="str">
        <f>IF(Projektforudsætninger!$B$14="Ja",F210-F212,"-")</f>
        <v>-</v>
      </c>
      <c r="H212" s="241" t="s">
        <v>495</v>
      </c>
      <c r="I212" s="251" t="str">
        <f>IF('Sortering af spørgsmål'!$C$24=Projektforudsætninger!$C$20,"","-")</f>
        <v>-</v>
      </c>
      <c r="J212" s="251" t="str">
        <f>IF('Sortering af spørgsmål'!$C$24=Projektforudsætninger!$C$21,"","-")</f>
        <v>-</v>
      </c>
      <c r="K212" s="251" t="str">
        <f>IF('Sortering af spørgsmål'!$C$24=Projektforudsætninger!$C$22,"","-")</f>
        <v>-</v>
      </c>
      <c r="L212" s="251" t="str">
        <f>IF('Sortering af spørgsmål'!$C$24=Projektforudsætninger!$C$23,"","-")</f>
        <v>-</v>
      </c>
      <c r="M212" s="251" t="str">
        <f>IF('Sortering af spørgsmål'!$C$24=Projektforudsætninger!$C$24,"","-")</f>
        <v>-</v>
      </c>
      <c r="N212" s="251" t="str">
        <f>IF('Sortering af spørgsmål'!$C$24=Projektforudsætninger!$C$25,"","-")</f>
        <v>-</v>
      </c>
      <c r="O212" s="251" t="str">
        <f>IF('Sortering af spørgsmål'!$C$24=Projektforudsætninger!$C$26,"","-")</f>
        <v>-</v>
      </c>
      <c r="P212" s="251" t="str">
        <f>IF('Sortering af spørgsmål'!$C$24=Projektforudsætninger!$C$19,"","-")</f>
        <v>-</v>
      </c>
      <c r="Q212" s="259"/>
    </row>
    <row r="213" spans="1:17" s="222" customFormat="1" ht="15" customHeight="1" x14ac:dyDescent="0.45">
      <c r="A213" s="784"/>
      <c r="B213" s="787"/>
      <c r="C213" s="779" t="str">
        <f>Arbejdsark!C413</f>
        <v xml:space="preserve">Tæthed </v>
      </c>
      <c r="D213" s="282">
        <f>Arbejdsark!O414</f>
        <v>2</v>
      </c>
      <c r="E213" s="282">
        <f>D213-D213</f>
        <v>0</v>
      </c>
      <c r="F213" s="282" t="str">
        <f>IF(Projektforudsætninger!B14="Ja",Arbejdsark!U414,"-")</f>
        <v>-</v>
      </c>
      <c r="G213" s="282" t="str">
        <f>IF(Projektforudsætninger!$B$14="Ja",F213-F213,"-")</f>
        <v>-</v>
      </c>
      <c r="H213" s="237" t="s">
        <v>498</v>
      </c>
      <c r="I213" s="249" t="str">
        <f>IF('Sortering af spørgsmål'!$C$24=Projektforudsætninger!$C$20,"","-")</f>
        <v>-</v>
      </c>
      <c r="J213" s="249" t="str">
        <f>IF('Sortering af spørgsmål'!$C$24=Projektforudsætninger!$C$21,"","-")</f>
        <v>-</v>
      </c>
      <c r="K213" s="249" t="str">
        <f>IF('Sortering af spørgsmål'!$C$24=Projektforudsætninger!$C$22,"","-")</f>
        <v>-</v>
      </c>
      <c r="L213" s="249" t="str">
        <f>IF('Sortering af spørgsmål'!$C$24=Projektforudsætninger!$C$23,"","-")</f>
        <v>-</v>
      </c>
      <c r="M213" s="249" t="str">
        <f>IF('Sortering af spørgsmål'!$C$24=Projektforudsætninger!$C$24,"","-")</f>
        <v>-</v>
      </c>
      <c r="N213" s="249" t="str">
        <f>IF('Sortering af spørgsmål'!$C$24=Projektforudsætninger!$C$25,"","-")</f>
        <v>-</v>
      </c>
      <c r="O213" s="249" t="str">
        <f>IF('Sortering af spørgsmål'!$C$24=Projektforudsætninger!$C$26,"","-")</f>
        <v>-</v>
      </c>
      <c r="P213" s="249" t="str">
        <f>IF('Sortering af spørgsmål'!$C$24=Projektforudsætninger!$C$19,"","-")</f>
        <v>-</v>
      </c>
      <c r="Q213" s="258"/>
    </row>
    <row r="214" spans="1:17" ht="15" customHeight="1" x14ac:dyDescent="0.45">
      <c r="A214" s="784"/>
      <c r="B214" s="787"/>
      <c r="C214" s="779"/>
      <c r="D214" s="283">
        <f>Arbejdsark!O415</f>
        <v>1</v>
      </c>
      <c r="E214" s="283">
        <f>D213-D214</f>
        <v>1</v>
      </c>
      <c r="F214" s="283" t="str">
        <f>IF(Projektforudsætninger!B14="Ja",Arbejdsark!U415,"-")</f>
        <v>-</v>
      </c>
      <c r="G214" s="283" t="str">
        <f>IF(Projektforudsætninger!$B$14="Ja",F213-F214,"-")</f>
        <v>-</v>
      </c>
      <c r="H214" s="239" t="s">
        <v>499</v>
      </c>
      <c r="I214" s="250" t="str">
        <f>IF('Sortering af spørgsmål'!$C$24=Projektforudsætninger!$C$20,"","-")</f>
        <v>-</v>
      </c>
      <c r="J214" s="250" t="str">
        <f>IF('Sortering af spørgsmål'!$C$24=Projektforudsætninger!$C$21,"","-")</f>
        <v>-</v>
      </c>
      <c r="K214" s="250" t="str">
        <f>IF('Sortering af spørgsmål'!$C$24=Projektforudsætninger!$C$22,"","-")</f>
        <v>-</v>
      </c>
      <c r="L214" s="250" t="str">
        <f>IF('Sortering af spørgsmål'!$C$24=Projektforudsætninger!$C$23,"","-")</f>
        <v>-</v>
      </c>
      <c r="M214" s="250" t="str">
        <f>IF('Sortering af spørgsmål'!$C$24=Projektforudsætninger!$C$24,"","-")</f>
        <v>-</v>
      </c>
      <c r="N214" s="250" t="str">
        <f>IF('Sortering af spørgsmål'!$C$24=Projektforudsætninger!$C$25,"","-")</f>
        <v>-</v>
      </c>
      <c r="O214" s="250" t="str">
        <f>IF('Sortering af spørgsmål'!$C$24=Projektforudsætninger!$C$26,"","-")</f>
        <v>-</v>
      </c>
      <c r="P214" s="250" t="str">
        <f>IF('Sortering af spørgsmål'!$C$24=Projektforudsætninger!$C$19,"","-")</f>
        <v>-</v>
      </c>
      <c r="Q214" s="259"/>
    </row>
    <row r="215" spans="1:17" ht="15" customHeight="1" x14ac:dyDescent="0.45">
      <c r="A215" s="784"/>
      <c r="B215" s="787"/>
      <c r="C215" s="779"/>
      <c r="D215" s="284">
        <f>Arbejdsark!O416</f>
        <v>0</v>
      </c>
      <c r="E215" s="284">
        <f>D213-D215</f>
        <v>2</v>
      </c>
      <c r="F215" s="284" t="str">
        <f>IF(Projektforudsætninger!B14="Ja",Arbejdsark!U416,"-")</f>
        <v>-</v>
      </c>
      <c r="G215" s="284" t="str">
        <f>IF(Projektforudsætninger!$B$14="Ja",F213-F215,"-")</f>
        <v>-</v>
      </c>
      <c r="H215" s="241" t="s">
        <v>495</v>
      </c>
      <c r="I215" s="251" t="str">
        <f>IF('Sortering af spørgsmål'!$C$24=Projektforudsætninger!$C$20,"","-")</f>
        <v>-</v>
      </c>
      <c r="J215" s="251" t="str">
        <f>IF('Sortering af spørgsmål'!$C$24=Projektforudsætninger!$C$21,"","-")</f>
        <v>-</v>
      </c>
      <c r="K215" s="251" t="str">
        <f>IF('Sortering af spørgsmål'!$C$24=Projektforudsætninger!$C$22,"","-")</f>
        <v>-</v>
      </c>
      <c r="L215" s="251" t="str">
        <f>IF('Sortering af spørgsmål'!$C$24=Projektforudsætninger!$C$23,"","-")</f>
        <v>-</v>
      </c>
      <c r="M215" s="251" t="str">
        <f>IF('Sortering af spørgsmål'!$C$24=Projektforudsætninger!$C$24,"","-")</f>
        <v>-</v>
      </c>
      <c r="N215" s="251" t="str">
        <f>IF('Sortering af spørgsmål'!$C$24=Projektforudsætninger!$C$25,"","-")</f>
        <v>-</v>
      </c>
      <c r="O215" s="251" t="str">
        <f>IF('Sortering af spørgsmål'!$C$24=Projektforudsætninger!$C$26,"","-")</f>
        <v>-</v>
      </c>
      <c r="P215" s="251" t="str">
        <f>IF('Sortering af spørgsmål'!$C$24=Projektforudsætninger!$C$19,"","-")</f>
        <v>-</v>
      </c>
      <c r="Q215" s="259"/>
    </row>
    <row r="216" spans="1:17" s="222" customFormat="1" ht="15" customHeight="1" x14ac:dyDescent="0.45">
      <c r="A216" s="784"/>
      <c r="B216" s="787"/>
      <c r="C216" s="779" t="str">
        <f>Arbejdsark!C418</f>
        <v>Fugt</v>
      </c>
      <c r="D216" s="282">
        <f>Arbejdsark!O419</f>
        <v>2</v>
      </c>
      <c r="E216" s="282">
        <f>D216-D216</f>
        <v>0</v>
      </c>
      <c r="F216" s="282" t="str">
        <f>IF(Projektforudsætninger!B14="Ja",Arbejdsark!U419,"-")</f>
        <v>-</v>
      </c>
      <c r="G216" s="282" t="str">
        <f>IF(Projektforudsætninger!$B$14="Ja",F216-F216,"-")</f>
        <v>-</v>
      </c>
      <c r="H216" s="237" t="s">
        <v>498</v>
      </c>
      <c r="I216" s="249" t="str">
        <f>IF('Sortering af spørgsmål'!$C$24=Projektforudsætninger!$C$20,"","-")</f>
        <v>-</v>
      </c>
      <c r="J216" s="249" t="str">
        <f>IF('Sortering af spørgsmål'!$C$24=Projektforudsætninger!$C$21,"","-")</f>
        <v>-</v>
      </c>
      <c r="K216" s="249" t="str">
        <f>IF('Sortering af spørgsmål'!$C$24=Projektforudsætninger!$C$22,"","-")</f>
        <v>-</v>
      </c>
      <c r="L216" s="249" t="str">
        <f>IF('Sortering af spørgsmål'!$C$24=Projektforudsætninger!$C$23,"","-")</f>
        <v>-</v>
      </c>
      <c r="M216" s="249" t="str">
        <f>IF('Sortering af spørgsmål'!$C$24=Projektforudsætninger!$C$24,"","-")</f>
        <v>-</v>
      </c>
      <c r="N216" s="249" t="str">
        <f>IF('Sortering af spørgsmål'!$C$24=Projektforudsætninger!$C$25,"","-")</f>
        <v>-</v>
      </c>
      <c r="O216" s="249" t="str">
        <f>IF('Sortering af spørgsmål'!$C$24=Projektforudsætninger!$C$26,"","-")</f>
        <v>-</v>
      </c>
      <c r="P216" s="249" t="str">
        <f>IF('Sortering af spørgsmål'!$C$24=Projektforudsætninger!$C$19,"","-")</f>
        <v>-</v>
      </c>
      <c r="Q216" s="258"/>
    </row>
    <row r="217" spans="1:17" ht="15" customHeight="1" x14ac:dyDescent="0.45">
      <c r="A217" s="784"/>
      <c r="B217" s="787"/>
      <c r="C217" s="779"/>
      <c r="D217" s="283">
        <f>Arbejdsark!O420</f>
        <v>1</v>
      </c>
      <c r="E217" s="283">
        <f>D216-D217</f>
        <v>1</v>
      </c>
      <c r="F217" s="283" t="str">
        <f>IF(Projektforudsætninger!B14="Ja",Arbejdsark!U420,"-")</f>
        <v>-</v>
      </c>
      <c r="G217" s="283" t="str">
        <f>IF(Projektforudsætninger!$B$14="Ja",F216-F217,"-")</f>
        <v>-</v>
      </c>
      <c r="H217" s="239" t="s">
        <v>499</v>
      </c>
      <c r="I217" s="250" t="str">
        <f>IF('Sortering af spørgsmål'!$C$24=Projektforudsætninger!$C$20,"","-")</f>
        <v>-</v>
      </c>
      <c r="J217" s="250" t="str">
        <f>IF('Sortering af spørgsmål'!$C$24=Projektforudsætninger!$C$21,"","-")</f>
        <v>-</v>
      </c>
      <c r="K217" s="250" t="str">
        <f>IF('Sortering af spørgsmål'!$C$24=Projektforudsætninger!$C$22,"","-")</f>
        <v>-</v>
      </c>
      <c r="L217" s="250" t="str">
        <f>IF('Sortering af spørgsmål'!$C$24=Projektforudsætninger!$C$23,"","-")</f>
        <v>-</v>
      </c>
      <c r="M217" s="250" t="str">
        <f>IF('Sortering af spørgsmål'!$C$24=Projektforudsætninger!$C$24,"","-")</f>
        <v>-</v>
      </c>
      <c r="N217" s="250" t="str">
        <f>IF('Sortering af spørgsmål'!$C$24=Projektforudsætninger!$C$25,"","-")</f>
        <v>-</v>
      </c>
      <c r="O217" s="250" t="str">
        <f>IF('Sortering af spørgsmål'!$C$24=Projektforudsætninger!$C$26,"","-")</f>
        <v>-</v>
      </c>
      <c r="P217" s="250" t="str">
        <f>IF('Sortering af spørgsmål'!$C$24=Projektforudsætninger!$C$19,"","-")</f>
        <v>-</v>
      </c>
      <c r="Q217" s="259"/>
    </row>
    <row r="218" spans="1:17" ht="15" customHeight="1" x14ac:dyDescent="0.45">
      <c r="A218" s="784"/>
      <c r="B218" s="787"/>
      <c r="C218" s="779"/>
      <c r="D218" s="284">
        <f>Arbejdsark!O421</f>
        <v>0</v>
      </c>
      <c r="E218" s="284">
        <f>D216-D218</f>
        <v>2</v>
      </c>
      <c r="F218" s="284" t="str">
        <f>IF(Projektforudsætninger!B14="Ja",Arbejdsark!U421,"-")</f>
        <v>-</v>
      </c>
      <c r="G218" s="284" t="str">
        <f>IF(Projektforudsætninger!$B$14="Ja",F216-F218,"-")</f>
        <v>-</v>
      </c>
      <c r="H218" s="241" t="s">
        <v>495</v>
      </c>
      <c r="I218" s="251" t="str">
        <f>IF('Sortering af spørgsmål'!$C$24=Projektforudsætninger!$C$20,"","-")</f>
        <v>-</v>
      </c>
      <c r="J218" s="251" t="str">
        <f>IF('Sortering af spørgsmål'!$C$24=Projektforudsætninger!$C$21,"","-")</f>
        <v>-</v>
      </c>
      <c r="K218" s="251" t="str">
        <f>IF('Sortering af spørgsmål'!$C$24=Projektforudsætninger!$C$22,"","-")</f>
        <v>-</v>
      </c>
      <c r="L218" s="251" t="str">
        <f>IF('Sortering af spørgsmål'!$C$24=Projektforudsætninger!$C$23,"","-")</f>
        <v>-</v>
      </c>
      <c r="M218" s="251" t="str">
        <f>IF('Sortering af spørgsmål'!$C$24=Projektforudsætninger!$C$24,"","-")</f>
        <v>-</v>
      </c>
      <c r="N218" s="251" t="str">
        <f>IF('Sortering af spørgsmål'!$C$24=Projektforudsætninger!$C$25,"","-")</f>
        <v>-</v>
      </c>
      <c r="O218" s="251" t="str">
        <f>IF('Sortering af spørgsmål'!$C$24=Projektforudsætninger!$C$26,"","-")</f>
        <v>-</v>
      </c>
      <c r="P218" s="251" t="str">
        <f>IF('Sortering af spørgsmål'!$C$24=Projektforudsætninger!$C$19,"","-")</f>
        <v>-</v>
      </c>
      <c r="Q218" s="259"/>
    </row>
    <row r="219" spans="1:17" s="222" customFormat="1" ht="15" customHeight="1" x14ac:dyDescent="0.45">
      <c r="A219" s="784"/>
      <c r="B219" s="787" t="str">
        <f>Arbejdsark!A424</f>
        <v>Renhold og vedligehold</v>
      </c>
      <c r="C219" s="779" t="str">
        <f>Arbejdsark!C424</f>
        <v>Konstruktioner</v>
      </c>
      <c r="D219" s="282">
        <f>Arbejdsark!O425</f>
        <v>2</v>
      </c>
      <c r="E219" s="282">
        <f>D219-D219</f>
        <v>0</v>
      </c>
      <c r="F219" s="282" t="str">
        <f>IF(Projektforudsætninger!B14="Ja",Arbejdsark!U425,"-")</f>
        <v>-</v>
      </c>
      <c r="G219" s="282" t="str">
        <f>IF(Projektforudsætninger!$B$14="Ja",F219-F219,"-")</f>
        <v>-</v>
      </c>
      <c r="H219" s="237" t="s">
        <v>498</v>
      </c>
      <c r="I219" s="249" t="str">
        <f>IF('Sortering af spørgsmål'!$C$25=Projektforudsætninger!$C$20,"","-")</f>
        <v>-</v>
      </c>
      <c r="J219" s="249" t="str">
        <f>IF('Sortering af spørgsmål'!$C$25=Projektforudsætninger!$C$21,"","-")</f>
        <v>-</v>
      </c>
      <c r="K219" s="249" t="str">
        <f>IF('Sortering af spørgsmål'!$C$25=Projektforudsætninger!$C$22,"","-")</f>
        <v>-</v>
      </c>
      <c r="L219" s="249" t="str">
        <f>IF('Sortering af spørgsmål'!$C$25=Projektforudsætninger!$C$23,"","-")</f>
        <v>-</v>
      </c>
      <c r="M219" s="249" t="str">
        <f>IF('Sortering af spørgsmål'!$C$25=Projektforudsætninger!$C$24,"","-")</f>
        <v>-</v>
      </c>
      <c r="N219" s="249" t="str">
        <f>IF('Sortering af spørgsmål'!$C$25=Projektforudsætninger!$C$25,"","-")</f>
        <v>-</v>
      </c>
      <c r="O219" s="249" t="str">
        <f>IF('Sortering af spørgsmål'!$C$25=Projektforudsætninger!$C$26,"","-")</f>
        <v>-</v>
      </c>
      <c r="P219" s="249" t="str">
        <f>IF('Sortering af spørgsmål'!$C$25=Projektforudsætninger!$C$19,"","-")</f>
        <v>-</v>
      </c>
      <c r="Q219" s="258"/>
    </row>
    <row r="220" spans="1:17" ht="15" customHeight="1" x14ac:dyDescent="0.45">
      <c r="A220" s="784"/>
      <c r="B220" s="787"/>
      <c r="C220" s="779"/>
      <c r="D220" s="283">
        <f>Arbejdsark!O426</f>
        <v>1</v>
      </c>
      <c r="E220" s="283">
        <f>D219-D220</f>
        <v>1</v>
      </c>
      <c r="F220" s="283" t="str">
        <f>IF(Projektforudsætninger!B14="Ja",Arbejdsark!U426,"-")</f>
        <v>-</v>
      </c>
      <c r="G220" s="283" t="str">
        <f>IF(Projektforudsætninger!$B$14="Ja",F219-F220,"-")</f>
        <v>-</v>
      </c>
      <c r="H220" s="239" t="s">
        <v>499</v>
      </c>
      <c r="I220" s="250" t="str">
        <f>IF('Sortering af spørgsmål'!$C$25=Projektforudsætninger!$C$20,"","-")</f>
        <v>-</v>
      </c>
      <c r="J220" s="250" t="str">
        <f>IF('Sortering af spørgsmål'!$C$25=Projektforudsætninger!$C$21,"","-")</f>
        <v>-</v>
      </c>
      <c r="K220" s="250" t="str">
        <f>IF('Sortering af spørgsmål'!$C$25=Projektforudsætninger!$C$22,"","-")</f>
        <v>-</v>
      </c>
      <c r="L220" s="250" t="str">
        <f>IF('Sortering af spørgsmål'!$C$25=Projektforudsætninger!$C$23,"","-")</f>
        <v>-</v>
      </c>
      <c r="M220" s="250" t="str">
        <f>IF('Sortering af spørgsmål'!$C$25=Projektforudsætninger!$C$24,"","-")</f>
        <v>-</v>
      </c>
      <c r="N220" s="250" t="str">
        <f>IF('Sortering af spørgsmål'!$C$25=Projektforudsætninger!$C$25,"","-")</f>
        <v>-</v>
      </c>
      <c r="O220" s="250" t="str">
        <f>IF('Sortering af spørgsmål'!$C$25=Projektforudsætninger!$C$26,"","-")</f>
        <v>-</v>
      </c>
      <c r="P220" s="250" t="str">
        <f>IF('Sortering af spørgsmål'!$C$25=Projektforudsætninger!$C$19,"","-")</f>
        <v>-</v>
      </c>
      <c r="Q220" s="259"/>
    </row>
    <row r="221" spans="1:17" ht="15" customHeight="1" x14ac:dyDescent="0.45">
      <c r="A221" s="784"/>
      <c r="B221" s="787"/>
      <c r="C221" s="779"/>
      <c r="D221" s="284">
        <f>Arbejdsark!O427</f>
        <v>0</v>
      </c>
      <c r="E221" s="284">
        <f>D219-D221</f>
        <v>2</v>
      </c>
      <c r="F221" s="284" t="str">
        <f>IF(Projektforudsætninger!B14="Ja",Arbejdsark!U427,"-")</f>
        <v>-</v>
      </c>
      <c r="G221" s="284" t="str">
        <f>IF(Projektforudsætninger!$B$14="Ja",F219-F221,"-")</f>
        <v>-</v>
      </c>
      <c r="H221" s="241" t="s">
        <v>495</v>
      </c>
      <c r="I221" s="251" t="str">
        <f>IF('Sortering af spørgsmål'!$C$25=Projektforudsætninger!$C$20,"","-")</f>
        <v>-</v>
      </c>
      <c r="J221" s="251" t="str">
        <f>IF('Sortering af spørgsmål'!$C$25=Projektforudsætninger!$C$21,"","-")</f>
        <v>-</v>
      </c>
      <c r="K221" s="251" t="str">
        <f>IF('Sortering af spørgsmål'!$C$25=Projektforudsætninger!$C$22,"","-")</f>
        <v>-</v>
      </c>
      <c r="L221" s="251" t="str">
        <f>IF('Sortering af spørgsmål'!$C$25=Projektforudsætninger!$C$23,"","-")</f>
        <v>-</v>
      </c>
      <c r="M221" s="251" t="str">
        <f>IF('Sortering af spørgsmål'!$C$25=Projektforudsætninger!$C$24,"","-")</f>
        <v>-</v>
      </c>
      <c r="N221" s="251" t="str">
        <f>IF('Sortering af spørgsmål'!$C$25=Projektforudsætninger!$C$25,"","-")</f>
        <v>-</v>
      </c>
      <c r="O221" s="251" t="str">
        <f>IF('Sortering af spørgsmål'!$C$25=Projektforudsætninger!$C$26,"","-")</f>
        <v>-</v>
      </c>
      <c r="P221" s="251" t="str">
        <f>IF('Sortering af spørgsmål'!$C$25=Projektforudsætninger!$C$19,"","-")</f>
        <v>-</v>
      </c>
      <c r="Q221" s="259"/>
    </row>
    <row r="222" spans="1:17" s="222" customFormat="1" ht="15" customHeight="1" x14ac:dyDescent="0.45">
      <c r="A222" s="784"/>
      <c r="B222" s="787"/>
      <c r="C222" s="779" t="str">
        <f>Arbejdsark!C429</f>
        <v>Vinduespudsning</v>
      </c>
      <c r="D222" s="282">
        <f>Arbejdsark!O430</f>
        <v>3</v>
      </c>
      <c r="E222" s="282">
        <f>D222-D222</f>
        <v>0</v>
      </c>
      <c r="F222" s="282" t="str">
        <f>IF(Projektforudsætninger!B14="Ja",Arbejdsark!U430,"-")</f>
        <v>-</v>
      </c>
      <c r="G222" s="282" t="str">
        <f>IF(Projektforudsætninger!$B$14="Ja",F222-F222,"-")</f>
        <v>-</v>
      </c>
      <c r="H222" s="237" t="s">
        <v>498</v>
      </c>
      <c r="I222" s="249" t="str">
        <f>IF('Sortering af spørgsmål'!$C$25=Projektforudsætninger!$C$20,"","-")</f>
        <v>-</v>
      </c>
      <c r="J222" s="249" t="str">
        <f>IF('Sortering af spørgsmål'!$C$25=Projektforudsætninger!$C$21,"","-")</f>
        <v>-</v>
      </c>
      <c r="K222" s="249" t="str">
        <f>IF('Sortering af spørgsmål'!$C$25=Projektforudsætninger!$C$22,"","-")</f>
        <v>-</v>
      </c>
      <c r="L222" s="249" t="str">
        <f>IF('Sortering af spørgsmål'!$C$25=Projektforudsætninger!$C$23,"","-")</f>
        <v>-</v>
      </c>
      <c r="M222" s="249" t="str">
        <f>IF('Sortering af spørgsmål'!$C$25=Projektforudsætninger!$C$24,"","-")</f>
        <v>-</v>
      </c>
      <c r="N222" s="249" t="str">
        <f>IF('Sortering af spørgsmål'!$C$25=Projektforudsætninger!$C$25,"","-")</f>
        <v>-</v>
      </c>
      <c r="O222" s="249" t="str">
        <f>IF('Sortering af spørgsmål'!$C$25=Projektforudsætninger!$C$26,"","-")</f>
        <v>-</v>
      </c>
      <c r="P222" s="249" t="str">
        <f>IF('Sortering af spørgsmål'!$C$25=Projektforudsætninger!$C$19,"","-")</f>
        <v>-</v>
      </c>
      <c r="Q222" s="258"/>
    </row>
    <row r="223" spans="1:17" ht="15" customHeight="1" x14ac:dyDescent="0.45">
      <c r="A223" s="784"/>
      <c r="B223" s="787"/>
      <c r="C223" s="779"/>
      <c r="D223" s="283">
        <f>Arbejdsark!O431</f>
        <v>2</v>
      </c>
      <c r="E223" s="283">
        <f>D222-D223</f>
        <v>1</v>
      </c>
      <c r="F223" s="283" t="str">
        <f>IF(Projektforudsætninger!B14="Ja",Arbejdsark!U431,"-")</f>
        <v>-</v>
      </c>
      <c r="G223" s="283" t="str">
        <f>IF(Projektforudsætninger!$B$14="Ja",F222-F223,"-")</f>
        <v>-</v>
      </c>
      <c r="H223" s="239" t="s">
        <v>499</v>
      </c>
      <c r="I223" s="250" t="str">
        <f>IF('Sortering af spørgsmål'!$C$25=Projektforudsætninger!$C$20,"","-")</f>
        <v>-</v>
      </c>
      <c r="J223" s="250" t="str">
        <f>IF('Sortering af spørgsmål'!$C$25=Projektforudsætninger!$C$21,"","-")</f>
        <v>-</v>
      </c>
      <c r="K223" s="250" t="str">
        <f>IF('Sortering af spørgsmål'!$C$25=Projektforudsætninger!$C$22,"","-")</f>
        <v>-</v>
      </c>
      <c r="L223" s="250" t="str">
        <f>IF('Sortering af spørgsmål'!$C$25=Projektforudsætninger!$C$23,"","-")</f>
        <v>-</v>
      </c>
      <c r="M223" s="250" t="str">
        <f>IF('Sortering af spørgsmål'!$C$25=Projektforudsætninger!$C$24,"","-")</f>
        <v>-</v>
      </c>
      <c r="N223" s="250" t="str">
        <f>IF('Sortering af spørgsmål'!$C$25=Projektforudsætninger!$C$25,"","-")</f>
        <v>-</v>
      </c>
      <c r="O223" s="250" t="str">
        <f>IF('Sortering af spørgsmål'!$C$25=Projektforudsætninger!$C$26,"","-")</f>
        <v>-</v>
      </c>
      <c r="P223" s="250" t="str">
        <f>IF('Sortering af spørgsmål'!$C$25=Projektforudsætninger!$C$19,"","-")</f>
        <v>-</v>
      </c>
      <c r="Q223" s="259"/>
    </row>
    <row r="224" spans="1:17" ht="15" customHeight="1" x14ac:dyDescent="0.45">
      <c r="A224" s="784"/>
      <c r="B224" s="787"/>
      <c r="C224" s="779"/>
      <c r="D224" s="284">
        <f>Arbejdsark!O432</f>
        <v>0</v>
      </c>
      <c r="E224" s="284">
        <f>D222-D224</f>
        <v>3</v>
      </c>
      <c r="F224" s="284" t="str">
        <f>IF(Projektforudsætninger!B14="Ja",Arbejdsark!U432,"-")</f>
        <v>-</v>
      </c>
      <c r="G224" s="284" t="str">
        <f>IF(Projektforudsætninger!$B$14="Ja",F222-F224,"-")</f>
        <v>-</v>
      </c>
      <c r="H224" s="241" t="s">
        <v>495</v>
      </c>
      <c r="I224" s="251" t="str">
        <f>IF('Sortering af spørgsmål'!$C$25=Projektforudsætninger!$C$20,"","-")</f>
        <v>-</v>
      </c>
      <c r="J224" s="251" t="str">
        <f>IF('Sortering af spørgsmål'!$C$25=Projektforudsætninger!$C$21,"","-")</f>
        <v>-</v>
      </c>
      <c r="K224" s="251" t="str">
        <f>IF('Sortering af spørgsmål'!$C$25=Projektforudsætninger!$C$22,"","-")</f>
        <v>-</v>
      </c>
      <c r="L224" s="251" t="str">
        <f>IF('Sortering af spørgsmål'!$C$25=Projektforudsætninger!$C$23,"","-")</f>
        <v>-</v>
      </c>
      <c r="M224" s="251" t="str">
        <f>IF('Sortering af spørgsmål'!$C$25=Projektforudsætninger!$C$24,"","-")</f>
        <v>-</v>
      </c>
      <c r="N224" s="251" t="str">
        <f>IF('Sortering af spørgsmål'!$C$25=Projektforudsætninger!$C$25,"","-")</f>
        <v>-</v>
      </c>
      <c r="O224" s="251" t="str">
        <f>IF('Sortering af spørgsmål'!$C$25=Projektforudsætninger!$C$26,"","-")</f>
        <v>-</v>
      </c>
      <c r="P224" s="251" t="str">
        <f>IF('Sortering af spørgsmål'!$C$25=Projektforudsætninger!$C$19,"","-")</f>
        <v>-</v>
      </c>
      <c r="Q224" s="259"/>
    </row>
    <row r="225" spans="1:19" s="222" customFormat="1" ht="15" customHeight="1" x14ac:dyDescent="0.45">
      <c r="A225" s="784"/>
      <c r="B225" s="787"/>
      <c r="C225" s="779" t="str">
        <f>Arbejdsark!C434</f>
        <v>Gulvbelægning</v>
      </c>
      <c r="D225" s="282">
        <f>Arbejdsark!O435</f>
        <v>3</v>
      </c>
      <c r="E225" s="282">
        <f>D225-D225</f>
        <v>0</v>
      </c>
      <c r="F225" s="282" t="str">
        <f>IF(Projektforudsætninger!B14="Ja",Arbejdsark!U435,"-")</f>
        <v>-</v>
      </c>
      <c r="G225" s="282" t="str">
        <f>IF(Projektforudsætninger!$B$14="Ja",F225-F225,"-")</f>
        <v>-</v>
      </c>
      <c r="H225" s="237" t="s">
        <v>498</v>
      </c>
      <c r="I225" s="249" t="str">
        <f>IF('Sortering af spørgsmål'!$C$25=Projektforudsætninger!$C$20,"","-")</f>
        <v>-</v>
      </c>
      <c r="J225" s="249" t="str">
        <f>IF('Sortering af spørgsmål'!$C$25=Projektforudsætninger!$C$21,"","-")</f>
        <v>-</v>
      </c>
      <c r="K225" s="249" t="str">
        <f>IF('Sortering af spørgsmål'!$C$25=Projektforudsætninger!$C$22,"","-")</f>
        <v>-</v>
      </c>
      <c r="L225" s="249" t="str">
        <f>IF('Sortering af spørgsmål'!$C$25=Projektforudsætninger!$C$23,"","-")</f>
        <v>-</v>
      </c>
      <c r="M225" s="249" t="str">
        <f>IF('Sortering af spørgsmål'!$C$25=Projektforudsætninger!$C$24,"","-")</f>
        <v>-</v>
      </c>
      <c r="N225" s="249" t="str">
        <f>IF('Sortering af spørgsmål'!$C$25=Projektforudsætninger!$C$25,"","-")</f>
        <v>-</v>
      </c>
      <c r="O225" s="249" t="str">
        <f>IF('Sortering af spørgsmål'!$C$25=Projektforudsætninger!$C$26,"","-")</f>
        <v>-</v>
      </c>
      <c r="P225" s="249" t="str">
        <f>IF('Sortering af spørgsmål'!$C$25=Projektforudsætninger!$C$19,"","-")</f>
        <v>-</v>
      </c>
      <c r="Q225" s="258"/>
    </row>
    <row r="226" spans="1:19" ht="15" customHeight="1" x14ac:dyDescent="0.45">
      <c r="A226" s="784"/>
      <c r="B226" s="787"/>
      <c r="C226" s="779"/>
      <c r="D226" s="283">
        <f>Arbejdsark!O436</f>
        <v>2</v>
      </c>
      <c r="E226" s="283">
        <f>D225-D226</f>
        <v>1</v>
      </c>
      <c r="F226" s="283" t="str">
        <f>IF(Projektforudsætninger!B14="Ja",Arbejdsark!U436,"-")</f>
        <v>-</v>
      </c>
      <c r="G226" s="283" t="str">
        <f>IF(Projektforudsætninger!$B$14="Ja",F225-F226,"-")</f>
        <v>-</v>
      </c>
      <c r="H226" s="239" t="s">
        <v>499</v>
      </c>
      <c r="I226" s="250" t="str">
        <f>IF('Sortering af spørgsmål'!$C$25=Projektforudsætninger!$C$20,"","-")</f>
        <v>-</v>
      </c>
      <c r="J226" s="250" t="str">
        <f>IF('Sortering af spørgsmål'!$C$25=Projektforudsætninger!$C$21,"","-")</f>
        <v>-</v>
      </c>
      <c r="K226" s="250" t="str">
        <f>IF('Sortering af spørgsmål'!$C$25=Projektforudsætninger!$C$22,"","-")</f>
        <v>-</v>
      </c>
      <c r="L226" s="250" t="str">
        <f>IF('Sortering af spørgsmål'!$C$25=Projektforudsætninger!$C$23,"","-")</f>
        <v>-</v>
      </c>
      <c r="M226" s="250" t="str">
        <f>IF('Sortering af spørgsmål'!$C$25=Projektforudsætninger!$C$24,"","-")</f>
        <v>-</v>
      </c>
      <c r="N226" s="250" t="str">
        <f>IF('Sortering af spørgsmål'!$C$25=Projektforudsætninger!$C$25,"","-")</f>
        <v>-</v>
      </c>
      <c r="O226" s="250" t="str">
        <f>IF('Sortering af spørgsmål'!$C$25=Projektforudsætninger!$C$26,"","-")</f>
        <v>-</v>
      </c>
      <c r="P226" s="250" t="str">
        <f>IF('Sortering af spørgsmål'!$C$25=Projektforudsætninger!$C$19,"","-")</f>
        <v>-</v>
      </c>
      <c r="Q226" s="259"/>
    </row>
    <row r="227" spans="1:19" ht="15" customHeight="1" x14ac:dyDescent="0.45">
      <c r="A227" s="784"/>
      <c r="B227" s="787"/>
      <c r="C227" s="779"/>
      <c r="D227" s="284">
        <f>Arbejdsark!O437</f>
        <v>0</v>
      </c>
      <c r="E227" s="284">
        <f>D225-D227</f>
        <v>3</v>
      </c>
      <c r="F227" s="284" t="str">
        <f>IF(Projektforudsætninger!B14="Ja",Arbejdsark!U437,"-")</f>
        <v>-</v>
      </c>
      <c r="G227" s="284" t="str">
        <f>IF(Projektforudsætninger!$B$14="Ja",F225-F227,"-")</f>
        <v>-</v>
      </c>
      <c r="H227" s="241" t="s">
        <v>495</v>
      </c>
      <c r="I227" s="251" t="str">
        <f>IF('Sortering af spørgsmål'!$C$25=Projektforudsætninger!$C$20,"","-")</f>
        <v>-</v>
      </c>
      <c r="J227" s="251" t="str">
        <f>IF('Sortering af spørgsmål'!$C$25=Projektforudsætninger!$C$21,"","-")</f>
        <v>-</v>
      </c>
      <c r="K227" s="251" t="str">
        <f>IF('Sortering af spørgsmål'!$C$25=Projektforudsætninger!$C$22,"","-")</f>
        <v>-</v>
      </c>
      <c r="L227" s="251" t="str">
        <f>IF('Sortering af spørgsmål'!$C$25=Projektforudsætninger!$C$23,"","-")</f>
        <v>-</v>
      </c>
      <c r="M227" s="251" t="str">
        <f>IF('Sortering af spørgsmål'!$C$25=Projektforudsætninger!$C$24,"","-")</f>
        <v>-</v>
      </c>
      <c r="N227" s="251" t="str">
        <f>IF('Sortering af spørgsmål'!$C$25=Projektforudsætninger!$C$25,"","-")</f>
        <v>-</v>
      </c>
      <c r="O227" s="251" t="str">
        <f>IF('Sortering af spørgsmål'!$C$25=Projektforudsætninger!$C$26,"","-")</f>
        <v>-</v>
      </c>
      <c r="P227" s="251" t="str">
        <f>IF('Sortering af spørgsmål'!$C$25=Projektforudsætninger!$C$19,"","-")</f>
        <v>-</v>
      </c>
      <c r="Q227" s="259"/>
    </row>
    <row r="228" spans="1:19" s="222" customFormat="1" ht="15" customHeight="1" x14ac:dyDescent="0.45">
      <c r="A228" s="784"/>
      <c r="B228" s="787"/>
      <c r="C228" s="779" t="str">
        <f>Arbejdsark!C439</f>
        <v>Adgangsveje</v>
      </c>
      <c r="D228" s="282">
        <f>Arbejdsark!O440</f>
        <v>3</v>
      </c>
      <c r="E228" s="282">
        <f>D228-D228</f>
        <v>0</v>
      </c>
      <c r="F228" s="282" t="str">
        <f>IF(Projektforudsætninger!B14="Ja",Arbejdsark!U440,"-")</f>
        <v>-</v>
      </c>
      <c r="G228" s="282" t="str">
        <f>IF(Projektforudsætninger!$B$14="Ja",F228-F228,"-")</f>
        <v>-</v>
      </c>
      <c r="H228" s="237" t="s">
        <v>498</v>
      </c>
      <c r="I228" s="249" t="str">
        <f>IF('Sortering af spørgsmål'!$C$25=Projektforudsætninger!$C$20,"","-")</f>
        <v>-</v>
      </c>
      <c r="J228" s="249" t="str">
        <f>IF('Sortering af spørgsmål'!$C$25=Projektforudsætninger!$C$21,"","-")</f>
        <v>-</v>
      </c>
      <c r="K228" s="249" t="str">
        <f>IF('Sortering af spørgsmål'!$C$25=Projektforudsætninger!$C$22,"","-")</f>
        <v>-</v>
      </c>
      <c r="L228" s="249" t="str">
        <f>IF('Sortering af spørgsmål'!$C$25=Projektforudsætninger!$C$23,"","-")</f>
        <v>-</v>
      </c>
      <c r="M228" s="249" t="str">
        <f>IF('Sortering af spørgsmål'!$C$25=Projektforudsætninger!$C$24,"","-")</f>
        <v>-</v>
      </c>
      <c r="N228" s="249" t="str">
        <f>IF('Sortering af spørgsmål'!$C$25=Projektforudsætninger!$C$25,"","-")</f>
        <v>-</v>
      </c>
      <c r="O228" s="249" t="str">
        <f>IF('Sortering af spørgsmål'!$C$25=Projektforudsætninger!$C$26,"","-")</f>
        <v>-</v>
      </c>
      <c r="P228" s="249" t="str">
        <f>IF('Sortering af spørgsmål'!$C$25=Projektforudsætninger!$C$19,"","-")</f>
        <v>-</v>
      </c>
      <c r="Q228" s="258"/>
    </row>
    <row r="229" spans="1:19" ht="15" customHeight="1" x14ac:dyDescent="0.45">
      <c r="A229" s="784"/>
      <c r="B229" s="787"/>
      <c r="C229" s="779"/>
      <c r="D229" s="283">
        <f>Arbejdsark!O441</f>
        <v>2</v>
      </c>
      <c r="E229" s="283">
        <f>D228-D229</f>
        <v>1</v>
      </c>
      <c r="F229" s="283" t="str">
        <f>IF(Projektforudsætninger!B14="Ja",Arbejdsark!U441,"-")</f>
        <v>-</v>
      </c>
      <c r="G229" s="283" t="str">
        <f>IF(Projektforudsætninger!$B$14="Ja",F228-F229,"-")</f>
        <v>-</v>
      </c>
      <c r="H229" s="239" t="s">
        <v>499</v>
      </c>
      <c r="I229" s="250" t="str">
        <f>IF('Sortering af spørgsmål'!$C$25=Projektforudsætninger!$C$20,"","-")</f>
        <v>-</v>
      </c>
      <c r="J229" s="250" t="str">
        <f>IF('Sortering af spørgsmål'!$C$25=Projektforudsætninger!$C$21,"","-")</f>
        <v>-</v>
      </c>
      <c r="K229" s="250" t="str">
        <f>IF('Sortering af spørgsmål'!$C$25=Projektforudsætninger!$C$22,"","-")</f>
        <v>-</v>
      </c>
      <c r="L229" s="250" t="str">
        <f>IF('Sortering af spørgsmål'!$C$25=Projektforudsætninger!$C$23,"","-")</f>
        <v>-</v>
      </c>
      <c r="M229" s="250" t="str">
        <f>IF('Sortering af spørgsmål'!$C$25=Projektforudsætninger!$C$24,"","-")</f>
        <v>-</v>
      </c>
      <c r="N229" s="250" t="str">
        <f>IF('Sortering af spørgsmål'!$C$25=Projektforudsætninger!$C$25,"","-")</f>
        <v>-</v>
      </c>
      <c r="O229" s="250" t="str">
        <f>IF('Sortering af spørgsmål'!$C$25=Projektforudsætninger!$C$26,"","-")</f>
        <v>-</v>
      </c>
      <c r="P229" s="250" t="str">
        <f>IF('Sortering af spørgsmål'!$C$25=Projektforudsætninger!$C$19,"","-")</f>
        <v>-</v>
      </c>
      <c r="Q229" s="259"/>
    </row>
    <row r="230" spans="1:19" ht="15" customHeight="1" x14ac:dyDescent="0.45">
      <c r="A230" s="784"/>
      <c r="B230" s="787"/>
      <c r="C230" s="779"/>
      <c r="D230" s="284">
        <f>Arbejdsark!O442</f>
        <v>0</v>
      </c>
      <c r="E230" s="284">
        <f>D228-D230</f>
        <v>3</v>
      </c>
      <c r="F230" s="284" t="str">
        <f>IF(Projektforudsætninger!B14="Ja",Arbejdsark!U442,"-")</f>
        <v>-</v>
      </c>
      <c r="G230" s="284" t="str">
        <f>IF(Projektforudsætninger!$B$14="Ja",F228-F230,"-")</f>
        <v>-</v>
      </c>
      <c r="H230" s="241" t="s">
        <v>495</v>
      </c>
      <c r="I230" s="251" t="str">
        <f>IF('Sortering af spørgsmål'!$C$25=Projektforudsætninger!$C$20,"","-")</f>
        <v>-</v>
      </c>
      <c r="J230" s="251" t="str">
        <f>IF('Sortering af spørgsmål'!$C$25=Projektforudsætninger!$C$21,"","-")</f>
        <v>-</v>
      </c>
      <c r="K230" s="251" t="str">
        <f>IF('Sortering af spørgsmål'!$C$25=Projektforudsætninger!$C$22,"","-")</f>
        <v>-</v>
      </c>
      <c r="L230" s="251" t="str">
        <f>IF('Sortering af spørgsmål'!$C$25=Projektforudsætninger!$C$23,"","-")</f>
        <v>-</v>
      </c>
      <c r="M230" s="251" t="str">
        <f>IF('Sortering af spørgsmål'!$C$25=Projektforudsætninger!$C$24,"","-")</f>
        <v>-</v>
      </c>
      <c r="N230" s="251" t="str">
        <f>IF('Sortering af spørgsmål'!$C$25=Projektforudsætninger!$C$25,"","-")</f>
        <v>-</v>
      </c>
      <c r="O230" s="251" t="str">
        <f>IF('Sortering af spørgsmål'!$C$25=Projektforudsætninger!$C$26,"","-")</f>
        <v>-</v>
      </c>
      <c r="P230" s="251" t="str">
        <f>IF('Sortering af spørgsmål'!$C$25=Projektforudsætninger!$C$19,"","-")</f>
        <v>-</v>
      </c>
      <c r="Q230" s="259"/>
    </row>
    <row r="231" spans="1:19" s="222" customFormat="1" ht="15" customHeight="1" x14ac:dyDescent="0.45">
      <c r="A231" s="784"/>
      <c r="B231" s="787"/>
      <c r="C231" s="779" t="str">
        <f>Arbejdsark!C444</f>
        <v>Renhold omkring konstruktioner og tekniske installationer</v>
      </c>
      <c r="D231" s="282">
        <f>Arbejdsark!O445</f>
        <v>3</v>
      </c>
      <c r="E231" s="282">
        <f>D231-D231</f>
        <v>0</v>
      </c>
      <c r="F231" s="282" t="str">
        <f>IF(Projektforudsætninger!B14="Ja",Arbejdsark!U445,"-")</f>
        <v>-</v>
      </c>
      <c r="G231" s="282" t="str">
        <f>IF(Projektforudsætninger!$B$14="Ja",F231-F231,"-")</f>
        <v>-</v>
      </c>
      <c r="H231" s="237" t="s">
        <v>498</v>
      </c>
      <c r="I231" s="249" t="str">
        <f>IF('Sortering af spørgsmål'!$C$25=Projektforudsætninger!$C$20,"","-")</f>
        <v>-</v>
      </c>
      <c r="J231" s="249" t="str">
        <f>IF('Sortering af spørgsmål'!$C$25=Projektforudsætninger!$C$21,"","-")</f>
        <v>-</v>
      </c>
      <c r="K231" s="249" t="str">
        <f>IF('Sortering af spørgsmål'!$C$25=Projektforudsætninger!$C$22,"","-")</f>
        <v>-</v>
      </c>
      <c r="L231" s="249" t="str">
        <f>IF('Sortering af spørgsmål'!$C$25=Projektforudsætninger!$C$23,"","-")</f>
        <v>-</v>
      </c>
      <c r="M231" s="249" t="str">
        <f>IF('Sortering af spørgsmål'!$C$25=Projektforudsætninger!$C$24,"","-")</f>
        <v>-</v>
      </c>
      <c r="N231" s="249" t="str">
        <f>IF('Sortering af spørgsmål'!$C$25=Projektforudsætninger!$C$25,"","-")</f>
        <v>-</v>
      </c>
      <c r="O231" s="249" t="str">
        <f>IF('Sortering af spørgsmål'!$C$25=Projektforudsætninger!$C$26,"","-")</f>
        <v>-</v>
      </c>
      <c r="P231" s="249" t="str">
        <f>IF('Sortering af spørgsmål'!$C$25=Projektforudsætninger!$C$19,"","-")</f>
        <v>-</v>
      </c>
      <c r="Q231" s="258"/>
    </row>
    <row r="232" spans="1:19" ht="15" customHeight="1" x14ac:dyDescent="0.45">
      <c r="A232" s="784"/>
      <c r="B232" s="787"/>
      <c r="C232" s="779"/>
      <c r="D232" s="283">
        <f>Arbejdsark!O446</f>
        <v>2</v>
      </c>
      <c r="E232" s="283">
        <f>D231-D232</f>
        <v>1</v>
      </c>
      <c r="F232" s="283" t="str">
        <f>IF(Projektforudsætninger!B14="Ja",Arbejdsark!U446,"-")</f>
        <v>-</v>
      </c>
      <c r="G232" s="283" t="str">
        <f>IF(Projektforudsætninger!$B$14="Ja",F231-F232,"-")</f>
        <v>-</v>
      </c>
      <c r="H232" s="239" t="s">
        <v>499</v>
      </c>
      <c r="I232" s="250" t="str">
        <f>IF('Sortering af spørgsmål'!$C$25=Projektforudsætninger!$C$20,"","-")</f>
        <v>-</v>
      </c>
      <c r="J232" s="250" t="str">
        <f>IF('Sortering af spørgsmål'!$C$25=Projektforudsætninger!$C$21,"","-")</f>
        <v>-</v>
      </c>
      <c r="K232" s="250" t="str">
        <f>IF('Sortering af spørgsmål'!$C$25=Projektforudsætninger!$C$22,"","-")</f>
        <v>-</v>
      </c>
      <c r="L232" s="250" t="str">
        <f>IF('Sortering af spørgsmål'!$C$25=Projektforudsætninger!$C$23,"","-")</f>
        <v>-</v>
      </c>
      <c r="M232" s="250" t="str">
        <f>IF('Sortering af spørgsmål'!$C$25=Projektforudsætninger!$C$24,"","-")</f>
        <v>-</v>
      </c>
      <c r="N232" s="250" t="str">
        <f>IF('Sortering af spørgsmål'!$C$25=Projektforudsætninger!$C$25,"","-")</f>
        <v>-</v>
      </c>
      <c r="O232" s="250" t="str">
        <f>IF('Sortering af spørgsmål'!$C$25=Projektforudsætninger!$C$26,"","-")</f>
        <v>-</v>
      </c>
      <c r="P232" s="250" t="str">
        <f>IF('Sortering af spørgsmål'!$C$25=Projektforudsætninger!$C$19,"","-")</f>
        <v>-</v>
      </c>
      <c r="Q232" s="259"/>
    </row>
    <row r="233" spans="1:19" ht="15" customHeight="1" x14ac:dyDescent="0.45">
      <c r="A233" s="784"/>
      <c r="B233" s="787"/>
      <c r="C233" s="779"/>
      <c r="D233" s="284">
        <f>Arbejdsark!O447</f>
        <v>0</v>
      </c>
      <c r="E233" s="284">
        <f>D231-D233</f>
        <v>3</v>
      </c>
      <c r="F233" s="284" t="str">
        <f>IF(Projektforudsætninger!B14="Ja",Arbejdsark!U447,"-")</f>
        <v>-</v>
      </c>
      <c r="G233" s="284" t="str">
        <f>IF(Projektforudsætninger!$B$14="Ja",F231-F233,"-")</f>
        <v>-</v>
      </c>
      <c r="H233" s="241" t="s">
        <v>495</v>
      </c>
      <c r="I233" s="251" t="str">
        <f>IF('Sortering af spørgsmål'!$C$25=Projektforudsætninger!$C$20,"","-")</f>
        <v>-</v>
      </c>
      <c r="J233" s="251" t="str">
        <f>IF('Sortering af spørgsmål'!$C$25=Projektforudsætninger!$C$21,"","-")</f>
        <v>-</v>
      </c>
      <c r="K233" s="251" t="str">
        <f>IF('Sortering af spørgsmål'!$C$25=Projektforudsætninger!$C$22,"","-")</f>
        <v>-</v>
      </c>
      <c r="L233" s="251" t="str">
        <f>IF('Sortering af spørgsmål'!$C$25=Projektforudsætninger!$C$23,"","-")</f>
        <v>-</v>
      </c>
      <c r="M233" s="251" t="str">
        <f>IF('Sortering af spørgsmål'!$C$25=Projektforudsætninger!$C$24,"","-")</f>
        <v>-</v>
      </c>
      <c r="N233" s="251" t="str">
        <f>IF('Sortering af spørgsmål'!$C$25=Projektforudsætninger!$C$25,"","-")</f>
        <v>-</v>
      </c>
      <c r="O233" s="251" t="str">
        <f>IF('Sortering af spørgsmål'!$C$25=Projektforudsætninger!$C$26,"","-")</f>
        <v>-</v>
      </c>
      <c r="P233" s="251" t="str">
        <f>IF('Sortering af spørgsmål'!$C$25=Projektforudsætninger!$C$19,"","-")</f>
        <v>-</v>
      </c>
      <c r="Q233" s="259"/>
    </row>
    <row r="234" spans="1:19" s="222" customFormat="1" ht="15" customHeight="1" x14ac:dyDescent="0.45">
      <c r="A234" s="784"/>
      <c r="B234" s="787"/>
      <c r="C234" s="779" t="str">
        <f>Arbejdsark!C449</f>
        <v>Materialer i vådrum</v>
      </c>
      <c r="D234" s="282">
        <f>Arbejdsark!O450</f>
        <v>2</v>
      </c>
      <c r="E234" s="282">
        <f>D234-D234</f>
        <v>0</v>
      </c>
      <c r="F234" s="282" t="str">
        <f>IF(Projektforudsætninger!B14="Ja",Arbejdsark!U450,"-")</f>
        <v>-</v>
      </c>
      <c r="G234" s="282" t="str">
        <f>IF(Projektforudsætninger!$B$14="Ja",F234-F234,"-")</f>
        <v>-</v>
      </c>
      <c r="H234" s="237" t="s">
        <v>498</v>
      </c>
      <c r="I234" s="249" t="str">
        <f>IF('Sortering af spørgsmål'!$C$25=Projektforudsætninger!$C$20,"","-")</f>
        <v>-</v>
      </c>
      <c r="J234" s="249" t="str">
        <f>IF('Sortering af spørgsmål'!$C$25=Projektforudsætninger!$C$21,"","-")</f>
        <v>-</v>
      </c>
      <c r="K234" s="249" t="str">
        <f>IF('Sortering af spørgsmål'!$C$25=Projektforudsætninger!$C$22,"","-")</f>
        <v>-</v>
      </c>
      <c r="L234" s="249" t="str">
        <f>IF('Sortering af spørgsmål'!$C$25=Projektforudsætninger!$C$23,"","-")</f>
        <v>-</v>
      </c>
      <c r="M234" s="249" t="str">
        <f>IF('Sortering af spørgsmål'!$C$25=Projektforudsætninger!$C$24,"","-")</f>
        <v>-</v>
      </c>
      <c r="N234" s="249" t="str">
        <f>IF('Sortering af spørgsmål'!$C$25=Projektforudsætninger!$C$25,"","-")</f>
        <v>-</v>
      </c>
      <c r="O234" s="249" t="str">
        <f>IF('Sortering af spørgsmål'!$C$25=Projektforudsætninger!$C$26,"","-")</f>
        <v>-</v>
      </c>
      <c r="P234" s="249" t="str">
        <f>IF('Sortering af spørgsmål'!$C$25=Projektforudsætninger!$C$19,"","-")</f>
        <v>-</v>
      </c>
      <c r="Q234" s="258"/>
    </row>
    <row r="235" spans="1:19" ht="15" customHeight="1" x14ac:dyDescent="0.45">
      <c r="A235" s="784"/>
      <c r="B235" s="787"/>
      <c r="C235" s="779"/>
      <c r="D235" s="283">
        <f>Arbejdsark!O451</f>
        <v>1</v>
      </c>
      <c r="E235" s="283">
        <f>D234-D235</f>
        <v>1</v>
      </c>
      <c r="F235" s="283" t="str">
        <f>IF(Projektforudsætninger!B14="Ja",Arbejdsark!U451,"-")</f>
        <v>-</v>
      </c>
      <c r="G235" s="283" t="str">
        <f>IF(Projektforudsætninger!$B$14="Ja",F234-F235,"-")</f>
        <v>-</v>
      </c>
      <c r="H235" s="239" t="s">
        <v>499</v>
      </c>
      <c r="I235" s="250" t="str">
        <f>IF('Sortering af spørgsmål'!$C$25=Projektforudsætninger!$C$20,"","-")</f>
        <v>-</v>
      </c>
      <c r="J235" s="250" t="str">
        <f>IF('Sortering af spørgsmål'!$C$25=Projektforudsætninger!$C$21,"","-")</f>
        <v>-</v>
      </c>
      <c r="K235" s="250" t="str">
        <f>IF('Sortering af spørgsmål'!$C$25=Projektforudsætninger!$C$22,"","-")</f>
        <v>-</v>
      </c>
      <c r="L235" s="250" t="str">
        <f>IF('Sortering af spørgsmål'!$C$25=Projektforudsætninger!$C$23,"","-")</f>
        <v>-</v>
      </c>
      <c r="M235" s="250" t="str">
        <f>IF('Sortering af spørgsmål'!$C$25=Projektforudsætninger!$C$24,"","-")</f>
        <v>-</v>
      </c>
      <c r="N235" s="250" t="str">
        <f>IF('Sortering af spørgsmål'!$C$25=Projektforudsætninger!$C$25,"","-")</f>
        <v>-</v>
      </c>
      <c r="O235" s="250" t="str">
        <f>IF('Sortering af spørgsmål'!$C$25=Projektforudsætninger!$C$26,"","-")</f>
        <v>-</v>
      </c>
      <c r="P235" s="250" t="str">
        <f>IF('Sortering af spørgsmål'!$C$25=Projektforudsætninger!$C$19,"","-")</f>
        <v>-</v>
      </c>
      <c r="Q235" s="259"/>
    </row>
    <row r="236" spans="1:19" ht="15" customHeight="1" x14ac:dyDescent="0.45">
      <c r="A236" s="784"/>
      <c r="B236" s="787"/>
      <c r="C236" s="779"/>
      <c r="D236" s="284">
        <f>Arbejdsark!O452</f>
        <v>0</v>
      </c>
      <c r="E236" s="284">
        <f>D234-D236</f>
        <v>2</v>
      </c>
      <c r="F236" s="284" t="str">
        <f>IF(Projektforudsætninger!B14="Ja",Arbejdsark!U452,"-")</f>
        <v>-</v>
      </c>
      <c r="G236" s="284" t="str">
        <f>IF(Projektforudsætninger!$B$14="Ja",F234-F236,"-")</f>
        <v>-</v>
      </c>
      <c r="H236" s="241" t="s">
        <v>495</v>
      </c>
      <c r="I236" s="251" t="str">
        <f>IF('Sortering af spørgsmål'!$C$25=Projektforudsætninger!$C$20,"","-")</f>
        <v>-</v>
      </c>
      <c r="J236" s="251" t="str">
        <f>IF('Sortering af spørgsmål'!$C$25=Projektforudsætninger!$C$21,"","-")</f>
        <v>-</v>
      </c>
      <c r="K236" s="251" t="str">
        <f>IF('Sortering af spørgsmål'!$C$25=Projektforudsætninger!$C$22,"","-")</f>
        <v>-</v>
      </c>
      <c r="L236" s="251" t="str">
        <f>IF('Sortering af spørgsmål'!$C$25=Projektforudsætninger!$C$23,"","-")</f>
        <v>-</v>
      </c>
      <c r="M236" s="251" t="str">
        <f>IF('Sortering af spørgsmål'!$C$25=Projektforudsætninger!$C$24,"","-")</f>
        <v>-</v>
      </c>
      <c r="N236" s="251" t="str">
        <f>IF('Sortering af spørgsmål'!$C$25=Projektforudsætninger!$C$25,"","-")</f>
        <v>-</v>
      </c>
      <c r="O236" s="251" t="str">
        <f>IF('Sortering af spørgsmål'!$C$25=Projektforudsætninger!$C$26,"","-")</f>
        <v>-</v>
      </c>
      <c r="P236" s="251" t="str">
        <f>IF('Sortering af spørgsmål'!$C$25=Projektforudsætninger!$C$19,"","-")</f>
        <v>-</v>
      </c>
      <c r="Q236" s="259"/>
    </row>
    <row r="237" spans="1:19" ht="15" customHeight="1" x14ac:dyDescent="0.45">
      <c r="A237" s="784"/>
      <c r="B237" s="787" t="str">
        <f>Arbejdsark!A455</f>
        <v>Idriftsættelse</v>
      </c>
      <c r="C237" s="779" t="str">
        <f>Arbejdsark!C455</f>
        <v>Systematisk idriftsættelse</v>
      </c>
      <c r="D237" s="282">
        <f>Arbejdsark!O456</f>
        <v>11</v>
      </c>
      <c r="E237" s="282">
        <f>D237-D237</f>
        <v>0</v>
      </c>
      <c r="F237" s="282" t="str">
        <f>IF(Projektforudsætninger!B14="Ja",Arbejdsark!U456,"-")</f>
        <v>-</v>
      </c>
      <c r="G237" s="282" t="str">
        <f>IF(Projektforudsætninger!$B$14="Ja",F237-F237,"-")</f>
        <v>-</v>
      </c>
      <c r="H237" s="237" t="s">
        <v>498</v>
      </c>
      <c r="I237" s="249" t="str">
        <f>IF('Sortering af spørgsmål'!$C$33=Projektforudsætninger!$C$20,"","-")</f>
        <v>-</v>
      </c>
      <c r="J237" s="249" t="str">
        <f>IF('Sortering af spørgsmål'!$C$33=Projektforudsætninger!$C$21,"","-")</f>
        <v>-</v>
      </c>
      <c r="K237" s="249" t="str">
        <f>IF('Sortering af spørgsmål'!$C$33=Projektforudsætninger!$C$22,"","-")</f>
        <v>-</v>
      </c>
      <c r="L237" s="249" t="str">
        <f>IF('Sortering af spørgsmål'!$C$33=Projektforudsætninger!$C$23,"","-")</f>
        <v>-</v>
      </c>
      <c r="M237" s="249" t="str">
        <f>IF('Sortering af spørgsmål'!$C$33=Projektforudsætninger!$C$24,"","-")</f>
        <v>-</v>
      </c>
      <c r="N237" s="249" t="str">
        <f>IF('Sortering af spørgsmål'!$C$33=Projektforudsætninger!$C$25,"","-")</f>
        <v>-</v>
      </c>
      <c r="O237" s="249" t="str">
        <f>IF('Sortering af spørgsmål'!$C$33=Projektforudsætninger!$C$26,"","-")</f>
        <v>-</v>
      </c>
      <c r="P237" s="249" t="str">
        <f>IF('Sortering af spørgsmål'!$C$33=Projektforudsætninger!$C$19,"","-")</f>
        <v>-</v>
      </c>
      <c r="Q237" s="258"/>
      <c r="R237" s="222"/>
      <c r="S237" s="222"/>
    </row>
    <row r="238" spans="1:19" ht="15" customHeight="1" x14ac:dyDescent="0.45">
      <c r="A238" s="784"/>
      <c r="B238" s="787"/>
      <c r="C238" s="779"/>
      <c r="D238" s="283">
        <f>Arbejdsark!O457</f>
        <v>8</v>
      </c>
      <c r="E238" s="283">
        <f>D237-D238</f>
        <v>3</v>
      </c>
      <c r="F238" s="283" t="str">
        <f>IF(Projektforudsætninger!B14="Ja",Arbejdsark!U457,"-")</f>
        <v>-</v>
      </c>
      <c r="G238" s="283" t="str">
        <f>IF(Projektforudsætninger!$B$14="Ja",F237-F238,"-")</f>
        <v>-</v>
      </c>
      <c r="H238" s="239" t="s">
        <v>499</v>
      </c>
      <c r="I238" s="250" t="str">
        <f>IF('Sortering af spørgsmål'!$C$33=Projektforudsætninger!$C$20,"","-")</f>
        <v>-</v>
      </c>
      <c r="J238" s="250" t="str">
        <f>IF('Sortering af spørgsmål'!$C$33=Projektforudsætninger!$C$21,"","-")</f>
        <v>-</v>
      </c>
      <c r="K238" s="250" t="str">
        <f>IF('Sortering af spørgsmål'!$C$33=Projektforudsætninger!$C$22,"","-")</f>
        <v>-</v>
      </c>
      <c r="L238" s="250" t="str">
        <f>IF('Sortering af spørgsmål'!$C$33=Projektforudsætninger!$C$23,"","-")</f>
        <v>-</v>
      </c>
      <c r="M238" s="250" t="str">
        <f>IF('Sortering af spørgsmål'!$C$33=Projektforudsætninger!$C$24,"","-")</f>
        <v>-</v>
      </c>
      <c r="N238" s="250" t="str">
        <f>IF('Sortering af spørgsmål'!$C$33=Projektforudsætninger!$C$25,"","-")</f>
        <v>-</v>
      </c>
      <c r="O238" s="250" t="str">
        <f>IF('Sortering af spørgsmål'!$C$33=Projektforudsætninger!$C$26,"","-")</f>
        <v>-</v>
      </c>
      <c r="P238" s="250" t="str">
        <f>IF('Sortering af spørgsmål'!$C$33=Projektforudsætninger!$C$19,"","-")</f>
        <v>-</v>
      </c>
      <c r="Q238" s="259"/>
    </row>
    <row r="239" spans="1:19" ht="15" customHeight="1" x14ac:dyDescent="0.45">
      <c r="A239" s="785"/>
      <c r="B239" s="787"/>
      <c r="C239" s="779"/>
      <c r="D239" s="285">
        <f>Arbejdsark!O458</f>
        <v>5</v>
      </c>
      <c r="E239" s="285">
        <f>D237-D239</f>
        <v>6</v>
      </c>
      <c r="F239" s="285" t="str">
        <f>IF(Projektforudsætninger!B14="Ja",Arbejdsark!U458,"-")</f>
        <v>-</v>
      </c>
      <c r="G239" s="284" t="str">
        <f>IF(Projektforudsætninger!$B$14="Ja",F237-F239,"-")</f>
        <v>-</v>
      </c>
      <c r="H239" s="241" t="s">
        <v>495</v>
      </c>
      <c r="I239" s="251" t="str">
        <f>IF('Sortering af spørgsmål'!$C$33=Projektforudsætninger!$C$20,"","-")</f>
        <v>-</v>
      </c>
      <c r="J239" s="251" t="str">
        <f>IF('Sortering af spørgsmål'!$C$33=Projektforudsætninger!$C$21,"","-")</f>
        <v>-</v>
      </c>
      <c r="K239" s="251" t="str">
        <f>IF('Sortering af spørgsmål'!$C$33=Projektforudsætninger!$C$22,"","-")</f>
        <v>-</v>
      </c>
      <c r="L239" s="251" t="str">
        <f>IF('Sortering af spørgsmål'!$C$33=Projektforudsætninger!$C$23,"","-")</f>
        <v>-</v>
      </c>
      <c r="M239" s="251" t="str">
        <f>IF('Sortering af spørgsmål'!$C$33=Projektforudsætninger!$C$24,"","-")</f>
        <v>-</v>
      </c>
      <c r="N239" s="251" t="str">
        <f>IF('Sortering af spørgsmål'!$C$33=Projektforudsætninger!$C$25,"","-")</f>
        <v>-</v>
      </c>
      <c r="O239" s="251" t="str">
        <f>IF('Sortering af spørgsmål'!$C$33=Projektforudsætninger!$C$26,"","-")</f>
        <v>-</v>
      </c>
      <c r="P239" s="251" t="str">
        <f>IF('Sortering af spørgsmål'!$C$33=Projektforudsætninger!$C$19,"","-")</f>
        <v>-</v>
      </c>
      <c r="Q239" s="260"/>
    </row>
    <row r="240" spans="1:19" s="222" customFormat="1" ht="15" customHeight="1" x14ac:dyDescent="0.45">
      <c r="A240" s="786" t="str">
        <f>'Dialogpart 1'!A136</f>
        <v>PROCES KVALITET</v>
      </c>
      <c r="B240" s="787" t="str">
        <f>Arbejdsark!A462</f>
        <v>Byggeprogram</v>
      </c>
      <c r="C240" s="779" t="str">
        <f>Arbejdsark!C462</f>
        <v>Niveau for detaljering</v>
      </c>
      <c r="D240" s="282">
        <f>Arbejdsark!O463</f>
        <v>2</v>
      </c>
      <c r="E240" s="282">
        <f>D240-D240</f>
        <v>0</v>
      </c>
      <c r="F240" s="282" t="str">
        <f>IF(Projektforudsætninger!B14="Ja",Arbejdsark!U463,"-")</f>
        <v>-</v>
      </c>
      <c r="G240" s="282" t="str">
        <f>IF(Projektforudsætninger!$B$14="Ja",F240-F240,"-")</f>
        <v>-</v>
      </c>
      <c r="H240" s="237" t="s">
        <v>498</v>
      </c>
      <c r="I240" s="249" t="str">
        <f>IF('Sortering af spørgsmål'!$C$26=Projektforudsætninger!$C$20,"","-")</f>
        <v>-</v>
      </c>
      <c r="J240" s="249" t="str">
        <f>IF('Sortering af spørgsmål'!$C$26=Projektforudsætninger!$C$21,"","-")</f>
        <v>-</v>
      </c>
      <c r="K240" s="249" t="str">
        <f>IF('Sortering af spørgsmål'!$C$26=Projektforudsætninger!$C$22,"","-")</f>
        <v>-</v>
      </c>
      <c r="L240" s="249" t="str">
        <f>IF('Sortering af spørgsmål'!$C$26=Projektforudsætninger!$C$23,"","-")</f>
        <v>-</v>
      </c>
      <c r="M240" s="249" t="str">
        <f>IF('Sortering af spørgsmål'!$C$26=Projektforudsætninger!$C$24,"","-")</f>
        <v>-</v>
      </c>
      <c r="N240" s="249" t="str">
        <f>IF('Sortering af spørgsmål'!$C$26=Projektforudsætninger!$C$25,"","-")</f>
        <v>-</v>
      </c>
      <c r="O240" s="249" t="str">
        <f>IF('Sortering af spørgsmål'!$C$26=Projektforudsætninger!$C$26,"","-")</f>
        <v>-</v>
      </c>
      <c r="P240" s="249" t="str">
        <f>IF('Sortering af spørgsmål'!$C$26=Projektforudsætninger!$C$19,"","-")</f>
        <v>-</v>
      </c>
      <c r="Q240" s="258"/>
    </row>
    <row r="241" spans="1:17" ht="15" customHeight="1" x14ac:dyDescent="0.45">
      <c r="A241" s="786"/>
      <c r="B241" s="787"/>
      <c r="C241" s="779"/>
      <c r="D241" s="283">
        <f>Arbejdsark!O464</f>
        <v>1</v>
      </c>
      <c r="E241" s="283">
        <f>D240-D241</f>
        <v>1</v>
      </c>
      <c r="F241" s="283" t="str">
        <f>IF(Projektforudsætninger!B14="Ja",Arbejdsark!U464,"-")</f>
        <v>-</v>
      </c>
      <c r="G241" s="283" t="str">
        <f>IF(Projektforudsætninger!$B$14="Ja",F240-F241,"-")</f>
        <v>-</v>
      </c>
      <c r="H241" s="239" t="s">
        <v>499</v>
      </c>
      <c r="I241" s="250" t="str">
        <f>IF('Sortering af spørgsmål'!$C$26=Projektforudsætninger!$C$20,"","-")</f>
        <v>-</v>
      </c>
      <c r="J241" s="250" t="str">
        <f>IF('Sortering af spørgsmål'!$C$26=Projektforudsætninger!$C$21,"","-")</f>
        <v>-</v>
      </c>
      <c r="K241" s="250" t="str">
        <f>IF('Sortering af spørgsmål'!$C$26=Projektforudsætninger!$C$22,"","-")</f>
        <v>-</v>
      </c>
      <c r="L241" s="250" t="str">
        <f>IF('Sortering af spørgsmål'!$C$26=Projektforudsætninger!$C$23,"","-")</f>
        <v>-</v>
      </c>
      <c r="M241" s="250" t="str">
        <f>IF('Sortering af spørgsmål'!$C$26=Projektforudsætninger!$C$24,"","-")</f>
        <v>-</v>
      </c>
      <c r="N241" s="250" t="str">
        <f>IF('Sortering af spørgsmål'!$C$26=Projektforudsætninger!$C$25,"","-")</f>
        <v>-</v>
      </c>
      <c r="O241" s="250" t="str">
        <f>IF('Sortering af spørgsmål'!$C$26=Projektforudsætninger!$C$26,"","-")</f>
        <v>-</v>
      </c>
      <c r="P241" s="250" t="str">
        <f>IF('Sortering af spørgsmål'!$C$26=Projektforudsætninger!$C$19,"","-")</f>
        <v>-</v>
      </c>
      <c r="Q241" s="259"/>
    </row>
    <row r="242" spans="1:17" ht="15" customHeight="1" x14ac:dyDescent="0.45">
      <c r="A242" s="786"/>
      <c r="B242" s="787"/>
      <c r="C242" s="779"/>
      <c r="D242" s="284">
        <f>Arbejdsark!O465</f>
        <v>0</v>
      </c>
      <c r="E242" s="284">
        <f>D240-D242</f>
        <v>2</v>
      </c>
      <c r="F242" s="284" t="str">
        <f>IF(Projektforudsætninger!B14="Ja",Arbejdsark!U465,"-")</f>
        <v>-</v>
      </c>
      <c r="G242" s="284" t="str">
        <f>IF(Projektforudsætninger!$B$14="Ja",F240-F242,"-")</f>
        <v>-</v>
      </c>
      <c r="H242" s="241" t="s">
        <v>495</v>
      </c>
      <c r="I242" s="251" t="str">
        <f>IF('Sortering af spørgsmål'!$C$26=Projektforudsætninger!$C$20,"","-")</f>
        <v>-</v>
      </c>
      <c r="J242" s="251" t="str">
        <f>IF('Sortering af spørgsmål'!$C$26=Projektforudsætninger!$C$21,"","-")</f>
        <v>-</v>
      </c>
      <c r="K242" s="251" t="str">
        <f>IF('Sortering af spørgsmål'!$C$26=Projektforudsætninger!$C$22,"","-")</f>
        <v>-</v>
      </c>
      <c r="L242" s="251" t="str">
        <f>IF('Sortering af spørgsmål'!$C$26=Projektforudsætninger!$C$23,"","-")</f>
        <v>-</v>
      </c>
      <c r="M242" s="251" t="str">
        <f>IF('Sortering af spørgsmål'!$C$26=Projektforudsætninger!$C$24,"","-")</f>
        <v>-</v>
      </c>
      <c r="N242" s="251" t="str">
        <f>IF('Sortering af spørgsmål'!$C$26=Projektforudsætninger!$C$25,"","-")</f>
        <v>-</v>
      </c>
      <c r="O242" s="251" t="str">
        <f>IF('Sortering af spørgsmål'!$C$26=Projektforudsætninger!$C$26,"","-")</f>
        <v>-</v>
      </c>
      <c r="P242" s="251" t="str">
        <f>IF('Sortering af spørgsmål'!$C$26=Projektforudsætninger!$C$19,"","-")</f>
        <v>-</v>
      </c>
      <c r="Q242" s="259"/>
    </row>
    <row r="243" spans="1:17" s="222" customFormat="1" ht="15" customHeight="1" x14ac:dyDescent="0.45">
      <c r="A243" s="786"/>
      <c r="B243" s="787" t="str">
        <f>Arbejdsark!A467</f>
        <v>Integreret designproces</v>
      </c>
      <c r="C243" s="779" t="str">
        <f>Arbejdsark!C467</f>
        <v>Brugerudstyrs bidrag til energiforbrug</v>
      </c>
      <c r="D243" s="282">
        <f>Arbejdsark!O468</f>
        <v>1</v>
      </c>
      <c r="E243" s="282">
        <f>D243-D243</f>
        <v>0</v>
      </c>
      <c r="F243" s="282" t="str">
        <f>IF(Projektforudsætninger!B14="Ja",Arbejdsark!U468,"-")</f>
        <v>-</v>
      </c>
      <c r="G243" s="282" t="str">
        <f>IF(Projektforudsætninger!$B$14="Ja",F243-F243,"-")</f>
        <v>-</v>
      </c>
      <c r="H243" s="237" t="s">
        <v>498</v>
      </c>
      <c r="I243" s="249" t="str">
        <f>IF('Sortering af spørgsmål'!$C$27=Projektforudsætninger!$C$20,"","-")</f>
        <v>-</v>
      </c>
      <c r="J243" s="249" t="str">
        <f>IF('Sortering af spørgsmål'!$C$27=Projektforudsætninger!$C$21,"","-")</f>
        <v>-</v>
      </c>
      <c r="K243" s="249" t="str">
        <f>IF('Sortering af spørgsmål'!$C$27=Projektforudsætninger!$C$22,"","-")</f>
        <v>-</v>
      </c>
      <c r="L243" s="249" t="str">
        <f>IF('Sortering af spørgsmål'!$C$27=Projektforudsætninger!$C$23,"","-")</f>
        <v>-</v>
      </c>
      <c r="M243" s="249" t="str">
        <f>IF('Sortering af spørgsmål'!$C$27=Projektforudsætninger!$C$24,"","-")</f>
        <v>-</v>
      </c>
      <c r="N243" s="249" t="str">
        <f>IF('Sortering af spørgsmål'!$C$27=Projektforudsætninger!$C$25,"","-")</f>
        <v>-</v>
      </c>
      <c r="O243" s="249" t="str">
        <f>IF('Sortering af spørgsmål'!$C$27=Projektforudsætninger!$C$26,"","-")</f>
        <v>-</v>
      </c>
      <c r="P243" s="249" t="str">
        <f>IF('Sortering af spørgsmål'!$C$27=Projektforudsætninger!$C$19,"","-")</f>
        <v>-</v>
      </c>
      <c r="Q243" s="258"/>
    </row>
    <row r="244" spans="1:17" ht="15" customHeight="1" x14ac:dyDescent="0.45">
      <c r="A244" s="786"/>
      <c r="B244" s="787"/>
      <c r="C244" s="779"/>
      <c r="D244" s="283">
        <f>Arbejdsark!O469</f>
        <v>1</v>
      </c>
      <c r="E244" s="283">
        <f>D243-D244</f>
        <v>0</v>
      </c>
      <c r="F244" s="283" t="str">
        <f>IF(Projektforudsætninger!B14="Ja",Arbejdsark!U469,"-")</f>
        <v>-</v>
      </c>
      <c r="G244" s="283" t="str">
        <f>IF(Projektforudsætninger!$B$14="Ja",F243-F244,"-")</f>
        <v>-</v>
      </c>
      <c r="H244" s="239" t="s">
        <v>499</v>
      </c>
      <c r="I244" s="250" t="str">
        <f>IF('Sortering af spørgsmål'!$C$27=Projektforudsætninger!$C$20,"","-")</f>
        <v>-</v>
      </c>
      <c r="J244" s="250" t="str">
        <f>IF('Sortering af spørgsmål'!$C$27=Projektforudsætninger!$C$21,"","-")</f>
        <v>-</v>
      </c>
      <c r="K244" s="250" t="str">
        <f>IF('Sortering af spørgsmål'!$C$27=Projektforudsætninger!$C$22,"","-")</f>
        <v>-</v>
      </c>
      <c r="L244" s="250" t="str">
        <f>IF('Sortering af spørgsmål'!$C$27=Projektforudsætninger!$C$23,"","-")</f>
        <v>-</v>
      </c>
      <c r="M244" s="250" t="str">
        <f>IF('Sortering af spørgsmål'!$C$27=Projektforudsætninger!$C$24,"","-")</f>
        <v>-</v>
      </c>
      <c r="N244" s="250" t="str">
        <f>IF('Sortering af spørgsmål'!$C$27=Projektforudsætninger!$C$25,"","-")</f>
        <v>-</v>
      </c>
      <c r="O244" s="250" t="str">
        <f>IF('Sortering af spørgsmål'!$C$27=Projektforudsætninger!$C$26,"","-")</f>
        <v>-</v>
      </c>
      <c r="P244" s="250" t="str">
        <f>IF('Sortering af spørgsmål'!$C$27=Projektforudsætninger!$C$19,"","-")</f>
        <v>-</v>
      </c>
      <c r="Q244" s="259"/>
    </row>
    <row r="245" spans="1:17" ht="15" customHeight="1" x14ac:dyDescent="0.45">
      <c r="A245" s="786"/>
      <c r="B245" s="787"/>
      <c r="C245" s="779"/>
      <c r="D245" s="284">
        <f>Arbejdsark!O470</f>
        <v>0</v>
      </c>
      <c r="E245" s="284">
        <f>D243-D245</f>
        <v>1</v>
      </c>
      <c r="F245" s="284" t="str">
        <f>IF(Projektforudsætninger!B14="Ja",Arbejdsark!U470,"-")</f>
        <v>-</v>
      </c>
      <c r="G245" s="284" t="str">
        <f>IF(Projektforudsætninger!$B$14="Ja",F243-F245,"-")</f>
        <v>-</v>
      </c>
      <c r="H245" s="241" t="s">
        <v>495</v>
      </c>
      <c r="I245" s="251" t="str">
        <f>IF('Sortering af spørgsmål'!$C$27=Projektforudsætninger!$C$20,"","-")</f>
        <v>-</v>
      </c>
      <c r="J245" s="251" t="str">
        <f>IF('Sortering af spørgsmål'!$C$27=Projektforudsætninger!$C$21,"","-")</f>
        <v>-</v>
      </c>
      <c r="K245" s="251" t="str">
        <f>IF('Sortering af spørgsmål'!$C$27=Projektforudsætninger!$C$22,"","-")</f>
        <v>-</v>
      </c>
      <c r="L245" s="251" t="str">
        <f>IF('Sortering af spørgsmål'!$C$27=Projektforudsætninger!$C$23,"","-")</f>
        <v>-</v>
      </c>
      <c r="M245" s="251" t="str">
        <f>IF('Sortering af spørgsmål'!$C$27=Projektforudsætninger!$C$24,"","-")</f>
        <v>-</v>
      </c>
      <c r="N245" s="251" t="str">
        <f>IF('Sortering af spørgsmål'!$C$27=Projektforudsætninger!$C$25,"","-")</f>
        <v>-</v>
      </c>
      <c r="O245" s="251" t="str">
        <f>IF('Sortering af spørgsmål'!$C$27=Projektforudsætninger!$C$26,"","-")</f>
        <v>-</v>
      </c>
      <c r="P245" s="251" t="str">
        <f>IF('Sortering af spørgsmål'!$C$27=Projektforudsætninger!$C$19,"","-")</f>
        <v>-</v>
      </c>
      <c r="Q245" s="259"/>
    </row>
    <row r="246" spans="1:17" s="222" customFormat="1" ht="15" customHeight="1" x14ac:dyDescent="0.45">
      <c r="A246" s="786"/>
      <c r="B246" s="787"/>
      <c r="C246" s="779" t="str">
        <f>Arbejdsark!C472</f>
        <v>Organisering af designteam</v>
      </c>
      <c r="D246" s="282">
        <f>Arbejdsark!O473</f>
        <v>1</v>
      </c>
      <c r="E246" s="282">
        <f>D246-D246</f>
        <v>0</v>
      </c>
      <c r="F246" s="282" t="str">
        <f>IF(Projektforudsætninger!B14="Ja",Arbejdsark!U473,"-")</f>
        <v>-</v>
      </c>
      <c r="G246" s="282" t="str">
        <f>IF(Projektforudsætninger!$B$14="Ja",F246-F246,"-")</f>
        <v>-</v>
      </c>
      <c r="H246" s="237" t="s">
        <v>498</v>
      </c>
      <c r="I246" s="249" t="str">
        <f>IF('Sortering af spørgsmål'!$C$27=Projektforudsætninger!$C$20,"","-")</f>
        <v>-</v>
      </c>
      <c r="J246" s="249" t="str">
        <f>IF('Sortering af spørgsmål'!$C$27=Projektforudsætninger!$C$21,"","-")</f>
        <v>-</v>
      </c>
      <c r="K246" s="249" t="str">
        <f>IF('Sortering af spørgsmål'!$C$27=Projektforudsætninger!$C$22,"","-")</f>
        <v>-</v>
      </c>
      <c r="L246" s="249" t="str">
        <f>IF('Sortering af spørgsmål'!$C$27=Projektforudsætninger!$C$23,"","-")</f>
        <v>-</v>
      </c>
      <c r="M246" s="249" t="str">
        <f>IF('Sortering af spørgsmål'!$C$27=Projektforudsætninger!$C$24,"","-")</f>
        <v>-</v>
      </c>
      <c r="N246" s="249" t="str">
        <f>IF('Sortering af spørgsmål'!$C$27=Projektforudsætninger!$C$25,"","-")</f>
        <v>-</v>
      </c>
      <c r="O246" s="249" t="str">
        <f>IF('Sortering af spørgsmål'!$C$27=Projektforudsætninger!$C$26,"","-")</f>
        <v>-</v>
      </c>
      <c r="P246" s="249" t="str">
        <f>IF('Sortering af spørgsmål'!$C$27=Projektforudsætninger!$C$19,"","-")</f>
        <v>-</v>
      </c>
      <c r="Q246" s="258"/>
    </row>
    <row r="247" spans="1:17" ht="15" customHeight="1" x14ac:dyDescent="0.45">
      <c r="A247" s="786"/>
      <c r="B247" s="787"/>
      <c r="C247" s="779"/>
      <c r="D247" s="283">
        <f>Arbejdsark!O474</f>
        <v>1</v>
      </c>
      <c r="E247" s="283">
        <f>D246-D247</f>
        <v>0</v>
      </c>
      <c r="F247" s="283" t="str">
        <f>IF(Projektforudsætninger!B14="Ja",Arbejdsark!U474,"-")</f>
        <v>-</v>
      </c>
      <c r="G247" s="283" t="str">
        <f>IF(Projektforudsætninger!$B$14="Ja",F246-F247,"-")</f>
        <v>-</v>
      </c>
      <c r="H247" s="239" t="s">
        <v>499</v>
      </c>
      <c r="I247" s="250" t="str">
        <f>IF('Sortering af spørgsmål'!$C$27=Projektforudsætninger!$C$20,"","-")</f>
        <v>-</v>
      </c>
      <c r="J247" s="250" t="str">
        <f>IF('Sortering af spørgsmål'!$C$27=Projektforudsætninger!$C$21,"","-")</f>
        <v>-</v>
      </c>
      <c r="K247" s="250" t="str">
        <f>IF('Sortering af spørgsmål'!$C$27=Projektforudsætninger!$C$22,"","-")</f>
        <v>-</v>
      </c>
      <c r="L247" s="250" t="str">
        <f>IF('Sortering af spørgsmål'!$C$27=Projektforudsætninger!$C$23,"","-")</f>
        <v>-</v>
      </c>
      <c r="M247" s="250" t="str">
        <f>IF('Sortering af spørgsmål'!$C$27=Projektforudsætninger!$C$24,"","-")</f>
        <v>-</v>
      </c>
      <c r="N247" s="250" t="str">
        <f>IF('Sortering af spørgsmål'!$C$27=Projektforudsætninger!$C$25,"","-")</f>
        <v>-</v>
      </c>
      <c r="O247" s="250" t="str">
        <f>IF('Sortering af spørgsmål'!$C$27=Projektforudsætninger!$C$26,"","-")</f>
        <v>-</v>
      </c>
      <c r="P247" s="250" t="str">
        <f>IF('Sortering af spørgsmål'!$C$27=Projektforudsætninger!$C$19,"","-")</f>
        <v>-</v>
      </c>
      <c r="Q247" s="259"/>
    </row>
    <row r="248" spans="1:17" ht="15" customHeight="1" x14ac:dyDescent="0.45">
      <c r="A248" s="786"/>
      <c r="B248" s="787"/>
      <c r="C248" s="779"/>
      <c r="D248" s="284">
        <f>Arbejdsark!O475</f>
        <v>0</v>
      </c>
      <c r="E248" s="284">
        <f>D246-D248</f>
        <v>1</v>
      </c>
      <c r="F248" s="284" t="str">
        <f>IF(Projektforudsætninger!B14="Ja",Arbejdsark!U475,"-")</f>
        <v>-</v>
      </c>
      <c r="G248" s="284" t="str">
        <f>IF(Projektforudsætninger!$B$14="Ja",F246-F248,"-")</f>
        <v>-</v>
      </c>
      <c r="H248" s="241" t="s">
        <v>495</v>
      </c>
      <c r="I248" s="251" t="str">
        <f>IF('Sortering af spørgsmål'!$C$27=Projektforudsætninger!$C$20,"","-")</f>
        <v>-</v>
      </c>
      <c r="J248" s="251" t="str">
        <f>IF('Sortering af spørgsmål'!$C$27=Projektforudsætninger!$C$21,"","-")</f>
        <v>-</v>
      </c>
      <c r="K248" s="251" t="str">
        <f>IF('Sortering af spørgsmål'!$C$27=Projektforudsætninger!$C$22,"","-")</f>
        <v>-</v>
      </c>
      <c r="L248" s="251" t="str">
        <f>IF('Sortering af spørgsmål'!$C$27=Projektforudsætninger!$C$23,"","-")</f>
        <v>-</v>
      </c>
      <c r="M248" s="251" t="str">
        <f>IF('Sortering af spørgsmål'!$C$27=Projektforudsætninger!$C$24,"","-")</f>
        <v>-</v>
      </c>
      <c r="N248" s="251" t="str">
        <f>IF('Sortering af spørgsmål'!$C$27=Projektforudsætninger!$C$25,"","-")</f>
        <v>-</v>
      </c>
      <c r="O248" s="251" t="str">
        <f>IF('Sortering af spørgsmål'!$C$27=Projektforudsætninger!$C$26,"","-")</f>
        <v>-</v>
      </c>
      <c r="P248" s="251" t="str">
        <f>IF('Sortering af spørgsmål'!$C$27=Projektforudsætninger!$C$19,"","-")</f>
        <v>-</v>
      </c>
      <c r="Q248" s="259"/>
    </row>
    <row r="249" spans="1:17" s="222" customFormat="1" ht="15" customHeight="1" x14ac:dyDescent="0.45">
      <c r="A249" s="786"/>
      <c r="B249" s="787"/>
      <c r="C249" s="779" t="str">
        <f>Arbejdsark!C477</f>
        <v>Brugerinddragelse</v>
      </c>
      <c r="D249" s="282">
        <f>Arbejdsark!O478</f>
        <v>1</v>
      </c>
      <c r="E249" s="282">
        <f>D249-D249</f>
        <v>0</v>
      </c>
      <c r="F249" s="282" t="str">
        <f>IF(Projektforudsætninger!B14="Ja",Arbejdsark!U478,"-")</f>
        <v>-</v>
      </c>
      <c r="G249" s="282" t="str">
        <f>IF(Projektforudsætninger!$B$14="Ja",F249-F249,"-")</f>
        <v>-</v>
      </c>
      <c r="H249" s="237" t="s">
        <v>498</v>
      </c>
      <c r="I249" s="249" t="str">
        <f>IF('Sortering af spørgsmål'!$C$27=Projektforudsætninger!$C$20,"","-")</f>
        <v>-</v>
      </c>
      <c r="J249" s="249" t="str">
        <f>IF('Sortering af spørgsmål'!$C$27=Projektforudsætninger!$C$21,"","-")</f>
        <v>-</v>
      </c>
      <c r="K249" s="249" t="str">
        <f>IF('Sortering af spørgsmål'!$C$27=Projektforudsætninger!$C$22,"","-")</f>
        <v>-</v>
      </c>
      <c r="L249" s="249" t="str">
        <f>IF('Sortering af spørgsmål'!$C$27=Projektforudsætninger!$C$23,"","-")</f>
        <v>-</v>
      </c>
      <c r="M249" s="249" t="str">
        <f>IF('Sortering af spørgsmål'!$C$27=Projektforudsætninger!$C$24,"","-")</f>
        <v>-</v>
      </c>
      <c r="N249" s="249" t="str">
        <f>IF('Sortering af spørgsmål'!$C$27=Projektforudsætninger!$C$25,"","-")</f>
        <v>-</v>
      </c>
      <c r="O249" s="249" t="str">
        <f>IF('Sortering af spørgsmål'!$C$27=Projektforudsætninger!$C$26,"","-")</f>
        <v>-</v>
      </c>
      <c r="P249" s="249" t="str">
        <f>IF('Sortering af spørgsmål'!$C$27=Projektforudsætninger!$C$19,"","-")</f>
        <v>-</v>
      </c>
      <c r="Q249" s="258"/>
    </row>
    <row r="250" spans="1:17" ht="15" customHeight="1" x14ac:dyDescent="0.45">
      <c r="A250" s="786"/>
      <c r="B250" s="787"/>
      <c r="C250" s="779"/>
      <c r="D250" s="283">
        <f>Arbejdsark!O479</f>
        <v>1</v>
      </c>
      <c r="E250" s="283">
        <f>D249-D250</f>
        <v>0</v>
      </c>
      <c r="F250" s="283" t="str">
        <f>IF(Projektforudsætninger!B14="Ja",Arbejdsark!U479,"-")</f>
        <v>-</v>
      </c>
      <c r="G250" s="283" t="str">
        <f>IF(Projektforudsætninger!$B$14="Ja",F249-F250,"-")</f>
        <v>-</v>
      </c>
      <c r="H250" s="239" t="s">
        <v>499</v>
      </c>
      <c r="I250" s="250" t="str">
        <f>IF('Sortering af spørgsmål'!$C$27=Projektforudsætninger!$C$20,"","-")</f>
        <v>-</v>
      </c>
      <c r="J250" s="250" t="str">
        <f>IF('Sortering af spørgsmål'!$C$27=Projektforudsætninger!$C$21,"","-")</f>
        <v>-</v>
      </c>
      <c r="K250" s="250" t="str">
        <f>IF('Sortering af spørgsmål'!$C$27=Projektforudsætninger!$C$22,"","-")</f>
        <v>-</v>
      </c>
      <c r="L250" s="250" t="str">
        <f>IF('Sortering af spørgsmål'!$C$27=Projektforudsætninger!$C$23,"","-")</f>
        <v>-</v>
      </c>
      <c r="M250" s="250" t="str">
        <f>IF('Sortering af spørgsmål'!$C$27=Projektforudsætninger!$C$24,"","-")</f>
        <v>-</v>
      </c>
      <c r="N250" s="250" t="str">
        <f>IF('Sortering af spørgsmål'!$C$27=Projektforudsætninger!$C$25,"","-")</f>
        <v>-</v>
      </c>
      <c r="O250" s="250" t="str">
        <f>IF('Sortering af spørgsmål'!$C$27=Projektforudsætninger!$C$26,"","-")</f>
        <v>-</v>
      </c>
      <c r="P250" s="250" t="str">
        <f>IF('Sortering af spørgsmål'!$C$27=Projektforudsætninger!$C$19,"","-")</f>
        <v>-</v>
      </c>
      <c r="Q250" s="259"/>
    </row>
    <row r="251" spans="1:17" ht="15" customHeight="1" x14ac:dyDescent="0.45">
      <c r="A251" s="786"/>
      <c r="B251" s="787"/>
      <c r="C251" s="779"/>
      <c r="D251" s="284">
        <f>Arbejdsark!O480</f>
        <v>0</v>
      </c>
      <c r="E251" s="284">
        <f>D249-D251</f>
        <v>1</v>
      </c>
      <c r="F251" s="284" t="str">
        <f>IF(Projektforudsætninger!B14="Ja",Arbejdsark!U480,"-")</f>
        <v>-</v>
      </c>
      <c r="G251" s="284" t="str">
        <f>IF(Projektforudsætninger!$B$14="Ja",F249-F251,"-")</f>
        <v>-</v>
      </c>
      <c r="H251" s="241" t="s">
        <v>495</v>
      </c>
      <c r="I251" s="251" t="str">
        <f>IF('Sortering af spørgsmål'!$C$27=Projektforudsætninger!$C$20,"","-")</f>
        <v>-</v>
      </c>
      <c r="J251" s="251" t="str">
        <f>IF('Sortering af spørgsmål'!$C$27=Projektforudsætninger!$C$21,"","-")</f>
        <v>-</v>
      </c>
      <c r="K251" s="251" t="str">
        <f>IF('Sortering af spørgsmål'!$C$27=Projektforudsætninger!$C$22,"","-")</f>
        <v>-</v>
      </c>
      <c r="L251" s="251" t="str">
        <f>IF('Sortering af spørgsmål'!$C$27=Projektforudsætninger!$C$23,"","-")</f>
        <v>-</v>
      </c>
      <c r="M251" s="251" t="str">
        <f>IF('Sortering af spørgsmål'!$C$27=Projektforudsætninger!$C$24,"","-")</f>
        <v>-</v>
      </c>
      <c r="N251" s="251" t="str">
        <f>IF('Sortering af spørgsmål'!$C$27=Projektforudsætninger!$C$25,"","-")</f>
        <v>-</v>
      </c>
      <c r="O251" s="251" t="str">
        <f>IF('Sortering af spørgsmål'!$C$27=Projektforudsætninger!$C$26,"","-")</f>
        <v>-</v>
      </c>
      <c r="P251" s="251" t="str">
        <f>IF('Sortering af spørgsmål'!$C$27=Projektforudsætninger!$C$19,"","-")</f>
        <v>-</v>
      </c>
      <c r="Q251" s="259"/>
    </row>
    <row r="252" spans="1:17" s="222" customFormat="1" ht="15" customHeight="1" x14ac:dyDescent="0.45">
      <c r="A252" s="786"/>
      <c r="B252" s="787"/>
      <c r="C252" s="779" t="str">
        <f>Arbejdsark!C482</f>
        <v>Naboinddragelse</v>
      </c>
      <c r="D252" s="282">
        <f>Arbejdsark!O483</f>
        <v>1</v>
      </c>
      <c r="E252" s="282">
        <f>D252-D252</f>
        <v>0</v>
      </c>
      <c r="F252" s="282" t="str">
        <f>IF(Projektforudsætninger!B14="Ja",Arbejdsark!U483,"-")</f>
        <v>-</v>
      </c>
      <c r="G252" s="282" t="str">
        <f>IF(Projektforudsætninger!$B$14="Ja",F252-F252,"-")</f>
        <v>-</v>
      </c>
      <c r="H252" s="237" t="s">
        <v>498</v>
      </c>
      <c r="I252" s="249" t="str">
        <f>IF('Sortering af spørgsmål'!$C$27=Projektforudsætninger!$C$20,"","-")</f>
        <v>-</v>
      </c>
      <c r="J252" s="249" t="str">
        <f>IF('Sortering af spørgsmål'!$C$27=Projektforudsætninger!$C$21,"","-")</f>
        <v>-</v>
      </c>
      <c r="K252" s="249" t="str">
        <f>IF('Sortering af spørgsmål'!$C$27=Projektforudsætninger!$C$22,"","-")</f>
        <v>-</v>
      </c>
      <c r="L252" s="249" t="str">
        <f>IF('Sortering af spørgsmål'!$C$27=Projektforudsætninger!$C$23,"","-")</f>
        <v>-</v>
      </c>
      <c r="M252" s="249" t="str">
        <f>IF('Sortering af spørgsmål'!$C$27=Projektforudsætninger!$C$24,"","-")</f>
        <v>-</v>
      </c>
      <c r="N252" s="249" t="str">
        <f>IF('Sortering af spørgsmål'!$C$27=Projektforudsætninger!$C$25,"","-")</f>
        <v>-</v>
      </c>
      <c r="O252" s="249" t="str">
        <f>IF('Sortering af spørgsmål'!$C$27=Projektforudsætninger!$C$26,"","-")</f>
        <v>-</v>
      </c>
      <c r="P252" s="249" t="str">
        <f>IF('Sortering af spørgsmål'!$C$27=Projektforudsætninger!$C$19,"","-")</f>
        <v>-</v>
      </c>
      <c r="Q252" s="258"/>
    </row>
    <row r="253" spans="1:17" ht="15" customHeight="1" x14ac:dyDescent="0.45">
      <c r="A253" s="786"/>
      <c r="B253" s="787"/>
      <c r="C253" s="779"/>
      <c r="D253" s="283">
        <f>Arbejdsark!O484</f>
        <v>1</v>
      </c>
      <c r="E253" s="283">
        <f>D252-D253</f>
        <v>0</v>
      </c>
      <c r="F253" s="283" t="str">
        <f>IF(Projektforudsætninger!B14="Ja",Arbejdsark!U484,"-")</f>
        <v>-</v>
      </c>
      <c r="G253" s="283" t="str">
        <f>IF(Projektforudsætninger!$B$14="Ja",F252-F253,"-")</f>
        <v>-</v>
      </c>
      <c r="H253" s="239" t="s">
        <v>499</v>
      </c>
      <c r="I253" s="250" t="str">
        <f>IF('Sortering af spørgsmål'!$C$27=Projektforudsætninger!$C$20,"","-")</f>
        <v>-</v>
      </c>
      <c r="J253" s="250" t="str">
        <f>IF('Sortering af spørgsmål'!$C$27=Projektforudsætninger!$C$21,"","-")</f>
        <v>-</v>
      </c>
      <c r="K253" s="250" t="str">
        <f>IF('Sortering af spørgsmål'!$C$27=Projektforudsætninger!$C$22,"","-")</f>
        <v>-</v>
      </c>
      <c r="L253" s="250" t="str">
        <f>IF('Sortering af spørgsmål'!$C$27=Projektforudsætninger!$C$23,"","-")</f>
        <v>-</v>
      </c>
      <c r="M253" s="250" t="str">
        <f>IF('Sortering af spørgsmål'!$C$27=Projektforudsætninger!$C$24,"","-")</f>
        <v>-</v>
      </c>
      <c r="N253" s="250" t="str">
        <f>IF('Sortering af spørgsmål'!$C$27=Projektforudsætninger!$C$25,"","-")</f>
        <v>-</v>
      </c>
      <c r="O253" s="250" t="str">
        <f>IF('Sortering af spørgsmål'!$C$27=Projektforudsætninger!$C$26,"","-")</f>
        <v>-</v>
      </c>
      <c r="P253" s="250" t="str">
        <f>IF('Sortering af spørgsmål'!$C$27=Projektforudsætninger!$C$19,"","-")</f>
        <v>-</v>
      </c>
      <c r="Q253" s="259"/>
    </row>
    <row r="254" spans="1:17" ht="15" customHeight="1" x14ac:dyDescent="0.45">
      <c r="A254" s="786"/>
      <c r="B254" s="787"/>
      <c r="C254" s="779"/>
      <c r="D254" s="284">
        <f>Arbejdsark!O485</f>
        <v>0</v>
      </c>
      <c r="E254" s="284">
        <f>D252-D254</f>
        <v>1</v>
      </c>
      <c r="F254" s="284" t="str">
        <f>IF(Projektforudsætninger!B14="Ja",Arbejdsark!U485,"-")</f>
        <v>-</v>
      </c>
      <c r="G254" s="284" t="str">
        <f>IF(Projektforudsætninger!$B$14="Ja",F252-F254,"-")</f>
        <v>-</v>
      </c>
      <c r="H254" s="241" t="s">
        <v>495</v>
      </c>
      <c r="I254" s="251" t="str">
        <f>IF('Sortering af spørgsmål'!$C$27=Projektforudsætninger!$C$20,"","-")</f>
        <v>-</v>
      </c>
      <c r="J254" s="251" t="str">
        <f>IF('Sortering af spørgsmål'!$C$27=Projektforudsætninger!$C$21,"","-")</f>
        <v>-</v>
      </c>
      <c r="K254" s="251" t="str">
        <f>IF('Sortering af spørgsmål'!$C$27=Projektforudsætninger!$C$22,"","-")</f>
        <v>-</v>
      </c>
      <c r="L254" s="251" t="str">
        <f>IF('Sortering af spørgsmål'!$C$27=Projektforudsætninger!$C$23,"","-")</f>
        <v>-</v>
      </c>
      <c r="M254" s="251" t="str">
        <f>IF('Sortering af spørgsmål'!$C$27=Projektforudsætninger!$C$24,"","-")</f>
        <v>-</v>
      </c>
      <c r="N254" s="251" t="str">
        <f>IF('Sortering af spørgsmål'!$C$27=Projektforudsætninger!$C$25,"","-")</f>
        <v>-</v>
      </c>
      <c r="O254" s="251" t="str">
        <f>IF('Sortering af spørgsmål'!$C$27=Projektforudsætninger!$C$26,"","-")</f>
        <v>-</v>
      </c>
      <c r="P254" s="251" t="str">
        <f>IF('Sortering af spørgsmål'!$C$27=Projektforudsætninger!$C$19,"","-")</f>
        <v>-</v>
      </c>
      <c r="Q254" s="259"/>
    </row>
    <row r="255" spans="1:17" s="222" customFormat="1" ht="15" customHeight="1" x14ac:dyDescent="0.45">
      <c r="A255" s="786"/>
      <c r="B255" s="787"/>
      <c r="C255" s="779" t="str">
        <f>Arbejdsark!C487</f>
        <v>Bæredygtighedsplan</v>
      </c>
      <c r="D255" s="282">
        <f>Arbejdsark!O488</f>
        <v>1</v>
      </c>
      <c r="E255" s="282">
        <f>D255-D255</f>
        <v>0</v>
      </c>
      <c r="F255" s="282" t="str">
        <f>IF(Projektforudsætninger!B14="Ja",Arbejdsark!U488,"-")</f>
        <v>-</v>
      </c>
      <c r="G255" s="282" t="str">
        <f>IF(Projektforudsætninger!$B$14="Ja",F255-F255,"-")</f>
        <v>-</v>
      </c>
      <c r="H255" s="237" t="s">
        <v>498</v>
      </c>
      <c r="I255" s="249" t="str">
        <f>IF('Sortering af spørgsmål'!$C$27=Projektforudsætninger!$C$20,"","-")</f>
        <v>-</v>
      </c>
      <c r="J255" s="249" t="str">
        <f>IF('Sortering af spørgsmål'!$C$27=Projektforudsætninger!$C$21,"","-")</f>
        <v>-</v>
      </c>
      <c r="K255" s="249" t="str">
        <f>IF('Sortering af spørgsmål'!$C$27=Projektforudsætninger!$C$22,"","-")</f>
        <v>-</v>
      </c>
      <c r="L255" s="249" t="str">
        <f>IF('Sortering af spørgsmål'!$C$27=Projektforudsætninger!$C$23,"","-")</f>
        <v>-</v>
      </c>
      <c r="M255" s="249" t="str">
        <f>IF('Sortering af spørgsmål'!$C$27=Projektforudsætninger!$C$24,"","-")</f>
        <v>-</v>
      </c>
      <c r="N255" s="249" t="str">
        <f>IF('Sortering af spørgsmål'!$C$27=Projektforudsætninger!$C$25,"","-")</f>
        <v>-</v>
      </c>
      <c r="O255" s="249" t="str">
        <f>IF('Sortering af spørgsmål'!$C$27=Projektforudsætninger!$C$26,"","-")</f>
        <v>-</v>
      </c>
      <c r="P255" s="249" t="str">
        <f>IF('Sortering af spørgsmål'!$C$27=Projektforudsætninger!$C$19,"","-")</f>
        <v>-</v>
      </c>
      <c r="Q255" s="258"/>
    </row>
    <row r="256" spans="1:17" ht="15" customHeight="1" x14ac:dyDescent="0.45">
      <c r="A256" s="786"/>
      <c r="B256" s="787"/>
      <c r="C256" s="779"/>
      <c r="D256" s="283">
        <f>Arbejdsark!O489</f>
        <v>1</v>
      </c>
      <c r="E256" s="283">
        <f>D255-D256</f>
        <v>0</v>
      </c>
      <c r="F256" s="283" t="str">
        <f>IF(Projektforudsætninger!B14="Ja",Arbejdsark!U489,"-")</f>
        <v>-</v>
      </c>
      <c r="G256" s="283" t="str">
        <f>IF(Projektforudsætninger!$B$14="Ja",F255-F256,"-")</f>
        <v>-</v>
      </c>
      <c r="H256" s="239" t="s">
        <v>499</v>
      </c>
      <c r="I256" s="250" t="str">
        <f>IF('Sortering af spørgsmål'!$C$27=Projektforudsætninger!$C$20,"","-")</f>
        <v>-</v>
      </c>
      <c r="J256" s="250" t="str">
        <f>IF('Sortering af spørgsmål'!$C$27=Projektforudsætninger!$C$21,"","-")</f>
        <v>-</v>
      </c>
      <c r="K256" s="250" t="str">
        <f>IF('Sortering af spørgsmål'!$C$27=Projektforudsætninger!$C$22,"","-")</f>
        <v>-</v>
      </c>
      <c r="L256" s="250" t="str">
        <f>IF('Sortering af spørgsmål'!$C$27=Projektforudsætninger!$C$23,"","-")</f>
        <v>-</v>
      </c>
      <c r="M256" s="250" t="str">
        <f>IF('Sortering af spørgsmål'!$C$27=Projektforudsætninger!$C$24,"","-")</f>
        <v>-</v>
      </c>
      <c r="N256" s="250" t="str">
        <f>IF('Sortering af spørgsmål'!$C$27=Projektforudsætninger!$C$25,"","-")</f>
        <v>-</v>
      </c>
      <c r="O256" s="250" t="str">
        <f>IF('Sortering af spørgsmål'!$C$27=Projektforudsætninger!$C$26,"","-")</f>
        <v>-</v>
      </c>
      <c r="P256" s="250" t="str">
        <f>IF('Sortering af spørgsmål'!$C$27=Projektforudsætninger!$C$19,"","-")</f>
        <v>-</v>
      </c>
      <c r="Q256" s="259"/>
    </row>
    <row r="257" spans="1:17" ht="15" customHeight="1" x14ac:dyDescent="0.45">
      <c r="A257" s="786"/>
      <c r="B257" s="787"/>
      <c r="C257" s="779"/>
      <c r="D257" s="284">
        <f>Arbejdsark!O490</f>
        <v>0</v>
      </c>
      <c r="E257" s="284">
        <f>D255-D257</f>
        <v>1</v>
      </c>
      <c r="F257" s="284" t="str">
        <f>IF(Projektforudsætninger!B14="Ja",Arbejdsark!U490,"-")</f>
        <v>-</v>
      </c>
      <c r="G257" s="284" t="str">
        <f>IF(Projektforudsætninger!$B$14="Ja",F255-F257,"-")</f>
        <v>-</v>
      </c>
      <c r="H257" s="241" t="s">
        <v>495</v>
      </c>
      <c r="I257" s="251" t="str">
        <f>IF('Sortering af spørgsmål'!$C$27=Projektforudsætninger!$C$20,"","-")</f>
        <v>-</v>
      </c>
      <c r="J257" s="251" t="str">
        <f>IF('Sortering af spørgsmål'!$C$27=Projektforudsætninger!$C$21,"","-")</f>
        <v>-</v>
      </c>
      <c r="K257" s="251" t="str">
        <f>IF('Sortering af spørgsmål'!$C$27=Projektforudsætninger!$C$22,"","-")</f>
        <v>-</v>
      </c>
      <c r="L257" s="251" t="str">
        <f>IF('Sortering af spørgsmål'!$C$27=Projektforudsætninger!$C$23,"","-")</f>
        <v>-</v>
      </c>
      <c r="M257" s="251" t="str">
        <f>IF('Sortering af spørgsmål'!$C$27=Projektforudsætninger!$C$24,"","-")</f>
        <v>-</v>
      </c>
      <c r="N257" s="251" t="str">
        <f>IF('Sortering af spørgsmål'!$C$27=Projektforudsætninger!$C$25,"","-")</f>
        <v>-</v>
      </c>
      <c r="O257" s="251" t="str">
        <f>IF('Sortering af spørgsmål'!$C$27=Projektforudsætninger!$C$26,"","-")</f>
        <v>-</v>
      </c>
      <c r="P257" s="251" t="str">
        <f>IF('Sortering af spørgsmål'!$C$27=Projektforudsætninger!$C$19,"","-")</f>
        <v>-</v>
      </c>
      <c r="Q257" s="259"/>
    </row>
    <row r="258" spans="1:17" s="222" customFormat="1" ht="15" customHeight="1" x14ac:dyDescent="0.45">
      <c r="A258" s="786"/>
      <c r="B258" s="787" t="str">
        <f>Arbejdsark!A492</f>
        <v>Koncepter</v>
      </c>
      <c r="C258" s="779" t="str">
        <f>Arbejdsark!C492</f>
        <v>Koncepter for bæredygtige tiltag</v>
      </c>
      <c r="D258" s="282">
        <f>Arbejdsark!O493</f>
        <v>3</v>
      </c>
      <c r="E258" s="282">
        <f>D258-D258</f>
        <v>0</v>
      </c>
      <c r="F258" s="282" t="str">
        <f>IF(Projektforudsætninger!B14="Ja",Arbejdsark!U493,"-")</f>
        <v>-</v>
      </c>
      <c r="G258" s="282" t="str">
        <f>IF(Projektforudsætninger!$B$14="Ja",F258-F258,"-")</f>
        <v>-</v>
      </c>
      <c r="H258" s="237" t="s">
        <v>498</v>
      </c>
      <c r="I258" s="249" t="str">
        <f>IF('Sortering af spørgsmål'!$C$28=Projektforudsætninger!$C$20,"","-")</f>
        <v>-</v>
      </c>
      <c r="J258" s="249" t="str">
        <f>IF('Sortering af spørgsmål'!$C$28=Projektforudsætninger!$C$21,"","-")</f>
        <v>-</v>
      </c>
      <c r="K258" s="249" t="str">
        <f>IF('Sortering af spørgsmål'!$C$28=Projektforudsætninger!$C$22,"","-")</f>
        <v>-</v>
      </c>
      <c r="L258" s="249" t="str">
        <f>IF('Sortering af spørgsmål'!$C$28=Projektforudsætninger!$C$23,"","-")</f>
        <v>-</v>
      </c>
      <c r="M258" s="249" t="str">
        <f>IF('Sortering af spørgsmål'!$C$28=Projektforudsætninger!$C$24,"","-")</f>
        <v>-</v>
      </c>
      <c r="N258" s="249" t="str">
        <f>IF('Sortering af spørgsmål'!$C$28=Projektforudsætninger!$C$25,"","-")</f>
        <v>-</v>
      </c>
      <c r="O258" s="249" t="str">
        <f>IF('Sortering af spørgsmål'!$C$28=Projektforudsætninger!$C$26,"","-")</f>
        <v>-</v>
      </c>
      <c r="P258" s="249" t="str">
        <f>IF('Sortering af spørgsmål'!$C$28=Projektforudsætninger!$C$19,"","-")</f>
        <v>-</v>
      </c>
      <c r="Q258" s="258"/>
    </row>
    <row r="259" spans="1:17" ht="15" customHeight="1" x14ac:dyDescent="0.45">
      <c r="A259" s="786"/>
      <c r="B259" s="787"/>
      <c r="C259" s="779"/>
      <c r="D259" s="283">
        <f>Arbejdsark!O494</f>
        <v>2</v>
      </c>
      <c r="E259" s="283">
        <f>D258-D259</f>
        <v>1</v>
      </c>
      <c r="F259" s="283" t="str">
        <f>IF(Projektforudsætninger!B14="Ja",Arbejdsark!U494,"-")</f>
        <v>-</v>
      </c>
      <c r="G259" s="283" t="str">
        <f>IF(Projektforudsætninger!$B$14="Ja",F258-F259,"-")</f>
        <v>-</v>
      </c>
      <c r="H259" s="239" t="s">
        <v>499</v>
      </c>
      <c r="I259" s="250" t="str">
        <f>IF('Sortering af spørgsmål'!$C$28=Projektforudsætninger!$C$20,"","-")</f>
        <v>-</v>
      </c>
      <c r="J259" s="250" t="str">
        <f>IF('Sortering af spørgsmål'!$C$28=Projektforudsætninger!$C$21,"","-")</f>
        <v>-</v>
      </c>
      <c r="K259" s="250" t="str">
        <f>IF('Sortering af spørgsmål'!$C$28=Projektforudsætninger!$C$22,"","-")</f>
        <v>-</v>
      </c>
      <c r="L259" s="250" t="str">
        <f>IF('Sortering af spørgsmål'!$C$28=Projektforudsætninger!$C$23,"","-")</f>
        <v>-</v>
      </c>
      <c r="M259" s="250" t="str">
        <f>IF('Sortering af spørgsmål'!$C$28=Projektforudsætninger!$C$24,"","-")</f>
        <v>-</v>
      </c>
      <c r="N259" s="250" t="str">
        <f>IF('Sortering af spørgsmål'!$C$28=Projektforudsætninger!$C$25,"","-")</f>
        <v>-</v>
      </c>
      <c r="O259" s="250" t="str">
        <f>IF('Sortering af spørgsmål'!$C$28=Projektforudsætninger!$C$26,"","-")</f>
        <v>-</v>
      </c>
      <c r="P259" s="250" t="str">
        <f>IF('Sortering af spørgsmål'!$C$28=Projektforudsætninger!$C$19,"","-")</f>
        <v>-</v>
      </c>
      <c r="Q259" s="259"/>
    </row>
    <row r="260" spans="1:17" ht="15" customHeight="1" x14ac:dyDescent="0.45">
      <c r="A260" s="786"/>
      <c r="B260" s="787"/>
      <c r="C260" s="779"/>
      <c r="D260" s="284">
        <f>Arbejdsark!O495</f>
        <v>0</v>
      </c>
      <c r="E260" s="284">
        <f>D258-D260</f>
        <v>3</v>
      </c>
      <c r="F260" s="284" t="str">
        <f>IF(Projektforudsætninger!B14="Ja",Arbejdsark!U495,"-")</f>
        <v>-</v>
      </c>
      <c r="G260" s="284" t="str">
        <f>IF(Projektforudsætninger!$B$14="Ja",F258-F260,"-")</f>
        <v>-</v>
      </c>
      <c r="H260" s="241" t="s">
        <v>495</v>
      </c>
      <c r="I260" s="251" t="str">
        <f>IF('Sortering af spørgsmål'!$C$28=Projektforudsætninger!$C$20,"","-")</f>
        <v>-</v>
      </c>
      <c r="J260" s="251" t="str">
        <f>IF('Sortering af spørgsmål'!$C$28=Projektforudsætninger!$C$21,"","-")</f>
        <v>-</v>
      </c>
      <c r="K260" s="251" t="str">
        <f>IF('Sortering af spørgsmål'!$C$28=Projektforudsætninger!$C$22,"","-")</f>
        <v>-</v>
      </c>
      <c r="L260" s="251" t="str">
        <f>IF('Sortering af spørgsmål'!$C$28=Projektforudsætninger!$C$23,"","-")</f>
        <v>-</v>
      </c>
      <c r="M260" s="251" t="str">
        <f>IF('Sortering af spørgsmål'!$C$28=Projektforudsætninger!$C$24,"","-")</f>
        <v>-</v>
      </c>
      <c r="N260" s="251" t="str">
        <f>IF('Sortering af spørgsmål'!$C$28=Projektforudsætninger!$C$25,"","-")</f>
        <v>-</v>
      </c>
      <c r="O260" s="251" t="str">
        <f>IF('Sortering af spørgsmål'!$C$28=Projektforudsætninger!$C$26,"","-")</f>
        <v>-</v>
      </c>
      <c r="P260" s="251" t="str">
        <f>IF('Sortering af spørgsmål'!$C$28=Projektforudsætninger!$C$19,"","-")</f>
        <v>-</v>
      </c>
      <c r="Q260" s="259"/>
    </row>
    <row r="261" spans="1:17" s="222" customFormat="1" ht="15" customHeight="1" x14ac:dyDescent="0.45">
      <c r="A261" s="786"/>
      <c r="B261" s="787" t="str">
        <f>Arbejdsark!A497</f>
        <v>Entrepriseudbud</v>
      </c>
      <c r="C261" s="779" t="str">
        <f>Arbejdsark!C497</f>
        <v>Udvælgelse (prækvalificering)</v>
      </c>
      <c r="D261" s="282">
        <f>Arbejdsark!O498</f>
        <v>2</v>
      </c>
      <c r="E261" s="282">
        <f>D261-D261</f>
        <v>0</v>
      </c>
      <c r="F261" s="282" t="str">
        <f>IF(Projektforudsætninger!B14="Ja",Arbejdsark!U498,"-")</f>
        <v>-</v>
      </c>
      <c r="G261" s="282" t="str">
        <f>IF(Projektforudsætninger!$B$14="Ja",F261-F261,"-")</f>
        <v>-</v>
      </c>
      <c r="H261" s="237" t="s">
        <v>498</v>
      </c>
      <c r="I261" s="249" t="str">
        <f>IF('Sortering af spørgsmål'!$C$29=Projektforudsætninger!$C$20,"","-")</f>
        <v>-</v>
      </c>
      <c r="J261" s="249" t="str">
        <f>IF('Sortering af spørgsmål'!$C$29=Projektforudsætninger!$C$21,"","-")</f>
        <v>-</v>
      </c>
      <c r="K261" s="249" t="str">
        <f>IF('Sortering af spørgsmål'!$C$29=Projektforudsætninger!$C$22,"","-")</f>
        <v>-</v>
      </c>
      <c r="L261" s="249" t="str">
        <f>IF('Sortering af spørgsmål'!$C$29=Projektforudsætninger!$C$23,"","-")</f>
        <v>-</v>
      </c>
      <c r="M261" s="249" t="str">
        <f>IF('Sortering af spørgsmål'!$C$29=Projektforudsætninger!$C$24,"","-")</f>
        <v>-</v>
      </c>
      <c r="N261" s="249" t="str">
        <f>IF('Sortering af spørgsmål'!$C$29=Projektforudsætninger!$C$25,"","-")</f>
        <v>-</v>
      </c>
      <c r="O261" s="249" t="str">
        <f>IF('Sortering af spørgsmål'!$C$29=Projektforudsætninger!$C$26,"","-")</f>
        <v>-</v>
      </c>
      <c r="P261" s="249" t="str">
        <f>IF('Sortering af spørgsmål'!$C$29=Projektforudsætninger!$C$19,"","-")</f>
        <v>-</v>
      </c>
      <c r="Q261" s="258"/>
    </row>
    <row r="262" spans="1:17" ht="15" customHeight="1" x14ac:dyDescent="0.45">
      <c r="A262" s="786"/>
      <c r="B262" s="787"/>
      <c r="C262" s="779"/>
      <c r="D262" s="283">
        <f>Arbejdsark!O499</f>
        <v>1</v>
      </c>
      <c r="E262" s="283">
        <f>D261-D262</f>
        <v>1</v>
      </c>
      <c r="F262" s="283" t="str">
        <f>IF(Projektforudsætninger!B14="Ja",Arbejdsark!U499,"-")</f>
        <v>-</v>
      </c>
      <c r="G262" s="283" t="str">
        <f>IF(Projektforudsætninger!$B$14="Ja",F261-F262,"-")</f>
        <v>-</v>
      </c>
      <c r="H262" s="239" t="s">
        <v>499</v>
      </c>
      <c r="I262" s="250" t="str">
        <f>IF('Sortering af spørgsmål'!$C$29=Projektforudsætninger!$C$20,"","-")</f>
        <v>-</v>
      </c>
      <c r="J262" s="250" t="str">
        <f>IF('Sortering af spørgsmål'!$C$29=Projektforudsætninger!$C$21,"","-")</f>
        <v>-</v>
      </c>
      <c r="K262" s="250" t="str">
        <f>IF('Sortering af spørgsmål'!$C$29=Projektforudsætninger!$C$22,"","-")</f>
        <v>-</v>
      </c>
      <c r="L262" s="250" t="str">
        <f>IF('Sortering af spørgsmål'!$C$29=Projektforudsætninger!$C$23,"","-")</f>
        <v>-</v>
      </c>
      <c r="M262" s="250" t="str">
        <f>IF('Sortering af spørgsmål'!$C$29=Projektforudsætninger!$C$24,"","-")</f>
        <v>-</v>
      </c>
      <c r="N262" s="250" t="str">
        <f>IF('Sortering af spørgsmål'!$C$29=Projektforudsætninger!$C$25,"","-")</f>
        <v>-</v>
      </c>
      <c r="O262" s="250" t="str">
        <f>IF('Sortering af spørgsmål'!$C$29=Projektforudsætninger!$C$26,"","-")</f>
        <v>-</v>
      </c>
      <c r="P262" s="250" t="str">
        <f>IF('Sortering af spørgsmål'!$C$29=Projektforudsætninger!$C$19,"","-")</f>
        <v>-</v>
      </c>
      <c r="Q262" s="259"/>
    </row>
    <row r="263" spans="1:17" ht="15" customHeight="1" x14ac:dyDescent="0.45">
      <c r="A263" s="786"/>
      <c r="B263" s="787"/>
      <c r="C263" s="779"/>
      <c r="D263" s="284">
        <f>Arbejdsark!O500</f>
        <v>0</v>
      </c>
      <c r="E263" s="284">
        <f>D261-D263</f>
        <v>2</v>
      </c>
      <c r="F263" s="284" t="str">
        <f>IF(Projektforudsætninger!B14="Ja",Arbejdsark!U500,"-")</f>
        <v>-</v>
      </c>
      <c r="G263" s="284" t="str">
        <f>IF(Projektforudsætninger!$B$14="Ja",F261-F263,"-")</f>
        <v>-</v>
      </c>
      <c r="H263" s="241" t="s">
        <v>495</v>
      </c>
      <c r="I263" s="251" t="str">
        <f>IF('Sortering af spørgsmål'!$C$29=Projektforudsætninger!$C$20,"","-")</f>
        <v>-</v>
      </c>
      <c r="J263" s="251" t="str">
        <f>IF('Sortering af spørgsmål'!$C$29=Projektforudsætninger!$C$21,"","-")</f>
        <v>-</v>
      </c>
      <c r="K263" s="251" t="str">
        <f>IF('Sortering af spørgsmål'!$C$29=Projektforudsætninger!$C$22,"","-")</f>
        <v>-</v>
      </c>
      <c r="L263" s="251" t="str">
        <f>IF('Sortering af spørgsmål'!$C$29=Projektforudsætninger!$C$23,"","-")</f>
        <v>-</v>
      </c>
      <c r="M263" s="251" t="str">
        <f>IF('Sortering af spørgsmål'!$C$29=Projektforudsætninger!$C$24,"","-")</f>
        <v>-</v>
      </c>
      <c r="N263" s="251" t="str">
        <f>IF('Sortering af spørgsmål'!$C$29=Projektforudsætninger!$C$25,"","-")</f>
        <v>-</v>
      </c>
      <c r="O263" s="251" t="str">
        <f>IF('Sortering af spørgsmål'!$C$29=Projektforudsætninger!$C$26,"","-")</f>
        <v>-</v>
      </c>
      <c r="P263" s="251" t="str">
        <f>IF('Sortering af spørgsmål'!$C$29=Projektforudsætninger!$C$19,"","-")</f>
        <v>-</v>
      </c>
      <c r="Q263" s="259"/>
    </row>
    <row r="264" spans="1:17" s="222" customFormat="1" ht="15" customHeight="1" x14ac:dyDescent="0.45">
      <c r="A264" s="786"/>
      <c r="B264" s="787" t="str">
        <f>Arbejdsark!A502</f>
        <v>Kvalitet af aflevering til driftspersonale</v>
      </c>
      <c r="C264" s="779" t="str">
        <f>Arbejdsark!C502</f>
        <v>D&amp;V-materiale</v>
      </c>
      <c r="D264" s="282">
        <f>Arbejdsark!O503</f>
        <v>1</v>
      </c>
      <c r="E264" s="282">
        <f>D264-D264</f>
        <v>0</v>
      </c>
      <c r="F264" s="282" t="str">
        <f>IF(Projektforudsætninger!B14="Ja",Arbejdsark!U503,"-")</f>
        <v>-</v>
      </c>
      <c r="G264" s="282" t="str">
        <f>IF(Projektforudsætninger!$B$14="Ja",F264-F264,"-")</f>
        <v>-</v>
      </c>
      <c r="H264" s="237" t="s">
        <v>498</v>
      </c>
      <c r="I264" s="249" t="str">
        <f>IF('Sortering af spørgsmål'!$C$30=Projektforudsætninger!$C$20,"","-")</f>
        <v>-</v>
      </c>
      <c r="J264" s="249" t="str">
        <f>IF('Sortering af spørgsmål'!$C$30=Projektforudsætninger!$C$21,"","-")</f>
        <v>-</v>
      </c>
      <c r="K264" s="249" t="str">
        <f>IF('Sortering af spørgsmål'!$C$30=Projektforudsætninger!$C$22,"","-")</f>
        <v>-</v>
      </c>
      <c r="L264" s="249" t="str">
        <f>IF('Sortering af spørgsmål'!$C$30=Projektforudsætninger!$C$23,"","-")</f>
        <v>-</v>
      </c>
      <c r="M264" s="249" t="str">
        <f>IF('Sortering af spørgsmål'!$C$30=Projektforudsætninger!$C$24,"","-")</f>
        <v>-</v>
      </c>
      <c r="N264" s="249" t="str">
        <f>IF('Sortering af spørgsmål'!$C$30=Projektforudsætninger!$C$25,"","-")</f>
        <v>-</v>
      </c>
      <c r="O264" s="249" t="str">
        <f>IF('Sortering af spørgsmål'!$C$30=Projektforudsætninger!$C$26,"","-")</f>
        <v>-</v>
      </c>
      <c r="P264" s="249" t="str">
        <f>IF('Sortering af spørgsmål'!$C$30=Projektforudsætninger!$C$19,"","-")</f>
        <v>-</v>
      </c>
      <c r="Q264" s="258"/>
    </row>
    <row r="265" spans="1:17" ht="15" customHeight="1" x14ac:dyDescent="0.45">
      <c r="A265" s="786"/>
      <c r="B265" s="787"/>
      <c r="C265" s="779"/>
      <c r="D265" s="283">
        <f>Arbejdsark!O504</f>
        <v>1</v>
      </c>
      <c r="E265" s="283">
        <f>D264-D265</f>
        <v>0</v>
      </c>
      <c r="F265" s="283" t="str">
        <f>IF(Projektforudsætninger!B14="Ja",Arbejdsark!U504,"-")</f>
        <v>-</v>
      </c>
      <c r="G265" s="283" t="str">
        <f>IF(Projektforudsætninger!$B$14="Ja",F264-F265,"-")</f>
        <v>-</v>
      </c>
      <c r="H265" s="239" t="s">
        <v>499</v>
      </c>
      <c r="I265" s="250" t="str">
        <f>IF('Sortering af spørgsmål'!$C$30=Projektforudsætninger!$C$20,"","-")</f>
        <v>-</v>
      </c>
      <c r="J265" s="250" t="str">
        <f>IF('Sortering af spørgsmål'!$C$30=Projektforudsætninger!$C$21,"","-")</f>
        <v>-</v>
      </c>
      <c r="K265" s="250" t="str">
        <f>IF('Sortering af spørgsmål'!$C$30=Projektforudsætninger!$C$22,"","-")</f>
        <v>-</v>
      </c>
      <c r="L265" s="250" t="str">
        <f>IF('Sortering af spørgsmål'!$C$30=Projektforudsætninger!$C$23,"","-")</f>
        <v>-</v>
      </c>
      <c r="M265" s="250" t="str">
        <f>IF('Sortering af spørgsmål'!$C$30=Projektforudsætninger!$C$24,"","-")</f>
        <v>-</v>
      </c>
      <c r="N265" s="250" t="str">
        <f>IF('Sortering af spørgsmål'!$C$30=Projektforudsætninger!$C$25,"","-")</f>
        <v>-</v>
      </c>
      <c r="O265" s="250" t="str">
        <f>IF('Sortering af spørgsmål'!$C$30=Projektforudsætninger!$C$26,"","-")</f>
        <v>-</v>
      </c>
      <c r="P265" s="250" t="str">
        <f>IF('Sortering af spørgsmål'!$C$30=Projektforudsætninger!$C$19,"","-")</f>
        <v>-</v>
      </c>
      <c r="Q265" s="259"/>
    </row>
    <row r="266" spans="1:17" ht="15" customHeight="1" x14ac:dyDescent="0.45">
      <c r="A266" s="786"/>
      <c r="B266" s="787"/>
      <c r="C266" s="779"/>
      <c r="D266" s="284">
        <f>Arbejdsark!O505</f>
        <v>0</v>
      </c>
      <c r="E266" s="284">
        <f>D264-D266</f>
        <v>1</v>
      </c>
      <c r="F266" s="284" t="str">
        <f>IF(Projektforudsætninger!B14="Ja",Arbejdsark!U505,"-")</f>
        <v>-</v>
      </c>
      <c r="G266" s="284" t="str">
        <f>IF(Projektforudsætninger!$B$14="Ja",F264-F266,"-")</f>
        <v>-</v>
      </c>
      <c r="H266" s="241" t="s">
        <v>495</v>
      </c>
      <c r="I266" s="251" t="str">
        <f>IF('Sortering af spørgsmål'!$C$30=Projektforudsætninger!$C$20,"","-")</f>
        <v>-</v>
      </c>
      <c r="J266" s="251" t="str">
        <f>IF('Sortering af spørgsmål'!$C$30=Projektforudsætninger!$C$21,"","-")</f>
        <v>-</v>
      </c>
      <c r="K266" s="251" t="str">
        <f>IF('Sortering af spørgsmål'!$C$30=Projektforudsætninger!$C$22,"","-")</f>
        <v>-</v>
      </c>
      <c r="L266" s="251" t="str">
        <f>IF('Sortering af spørgsmål'!$C$30=Projektforudsætninger!$C$23,"","-")</f>
        <v>-</v>
      </c>
      <c r="M266" s="251" t="str">
        <f>IF('Sortering af spørgsmål'!$C$30=Projektforudsætninger!$C$24,"","-")</f>
        <v>-</v>
      </c>
      <c r="N266" s="251" t="str">
        <f>IF('Sortering af spørgsmål'!$C$30=Projektforudsætninger!$C$25,"","-")</f>
        <v>-</v>
      </c>
      <c r="O266" s="251" t="str">
        <f>IF('Sortering af spørgsmål'!$C$30=Projektforudsætninger!$C$26,"","-")</f>
        <v>-</v>
      </c>
      <c r="P266" s="251" t="str">
        <f>IF('Sortering af spørgsmål'!$C$30=Projektforudsætninger!$C$19,"","-")</f>
        <v>-</v>
      </c>
      <c r="Q266" s="259"/>
    </row>
    <row r="267" spans="1:17" s="222" customFormat="1" ht="15" customHeight="1" x14ac:dyDescent="0.45">
      <c r="A267" s="786"/>
      <c r="B267" s="787"/>
      <c r="C267" s="779" t="str">
        <f>Arbejdsark!C507</f>
        <v>As Built</v>
      </c>
      <c r="D267" s="282">
        <f>Arbejdsark!O508</f>
        <v>1</v>
      </c>
      <c r="E267" s="282">
        <f>D267-D267</f>
        <v>0</v>
      </c>
      <c r="F267" s="282" t="str">
        <f>IF(Projektforudsætninger!B14="Ja",Arbejdsark!U508,"-")</f>
        <v>-</v>
      </c>
      <c r="G267" s="282" t="str">
        <f>IF(Projektforudsætninger!$B$14="Ja",F267-F267,"-")</f>
        <v>-</v>
      </c>
      <c r="H267" s="237" t="s">
        <v>498</v>
      </c>
      <c r="I267" s="249" t="str">
        <f>IF('Sortering af spørgsmål'!$C$30=Projektforudsætninger!$C$20,"","-")</f>
        <v>-</v>
      </c>
      <c r="J267" s="249" t="str">
        <f>IF('Sortering af spørgsmål'!$C$30=Projektforudsætninger!$C$21,"","-")</f>
        <v>-</v>
      </c>
      <c r="K267" s="249" t="str">
        <f>IF('Sortering af spørgsmål'!$C$30=Projektforudsætninger!$C$22,"","-")</f>
        <v>-</v>
      </c>
      <c r="L267" s="249" t="str">
        <f>IF('Sortering af spørgsmål'!$C$30=Projektforudsætninger!$C$23,"","-")</f>
        <v>-</v>
      </c>
      <c r="M267" s="249" t="str">
        <f>IF('Sortering af spørgsmål'!$C$30=Projektforudsætninger!$C$24,"","-")</f>
        <v>-</v>
      </c>
      <c r="N267" s="249" t="str">
        <f>IF('Sortering af spørgsmål'!$C$30=Projektforudsætninger!$C$25,"","-")</f>
        <v>-</v>
      </c>
      <c r="O267" s="249" t="str">
        <f>IF('Sortering af spørgsmål'!$C$30=Projektforudsætninger!$C$26,"","-")</f>
        <v>-</v>
      </c>
      <c r="P267" s="249" t="str">
        <f>IF('Sortering af spørgsmål'!$C$30=Projektforudsætninger!$C$19,"","-")</f>
        <v>-</v>
      </c>
      <c r="Q267" s="258"/>
    </row>
    <row r="268" spans="1:17" ht="15" customHeight="1" x14ac:dyDescent="0.45">
      <c r="A268" s="786"/>
      <c r="B268" s="787"/>
      <c r="C268" s="779"/>
      <c r="D268" s="283">
        <f>Arbejdsark!O509</f>
        <v>1</v>
      </c>
      <c r="E268" s="283">
        <f>D267-D268</f>
        <v>0</v>
      </c>
      <c r="F268" s="283" t="str">
        <f>IF(Projektforudsætninger!B14="Ja",Arbejdsark!U509,"-")</f>
        <v>-</v>
      </c>
      <c r="G268" s="283" t="str">
        <f>IF(Projektforudsætninger!$B$14="Ja",F267-F268,"-")</f>
        <v>-</v>
      </c>
      <c r="H268" s="239" t="s">
        <v>499</v>
      </c>
      <c r="I268" s="250" t="str">
        <f>IF('Sortering af spørgsmål'!$C$30=Projektforudsætninger!$C$20,"","-")</f>
        <v>-</v>
      </c>
      <c r="J268" s="250" t="str">
        <f>IF('Sortering af spørgsmål'!$C$30=Projektforudsætninger!$C$21,"","-")</f>
        <v>-</v>
      </c>
      <c r="K268" s="250" t="str">
        <f>IF('Sortering af spørgsmål'!$C$30=Projektforudsætninger!$C$22,"","-")</f>
        <v>-</v>
      </c>
      <c r="L268" s="250" t="str">
        <f>IF('Sortering af spørgsmål'!$C$30=Projektforudsætninger!$C$23,"","-")</f>
        <v>-</v>
      </c>
      <c r="M268" s="250" t="str">
        <f>IF('Sortering af spørgsmål'!$C$30=Projektforudsætninger!$C$24,"","-")</f>
        <v>-</v>
      </c>
      <c r="N268" s="250" t="str">
        <f>IF('Sortering af spørgsmål'!$C$30=Projektforudsætninger!$C$25,"","-")</f>
        <v>-</v>
      </c>
      <c r="O268" s="250" t="str">
        <f>IF('Sortering af spørgsmål'!$C$30=Projektforudsætninger!$C$26,"","-")</f>
        <v>-</v>
      </c>
      <c r="P268" s="250" t="str">
        <f>IF('Sortering af spørgsmål'!$C$30=Projektforudsætninger!$C$19,"","-")</f>
        <v>-</v>
      </c>
      <c r="Q268" s="259"/>
    </row>
    <row r="269" spans="1:17" ht="15" customHeight="1" x14ac:dyDescent="0.45">
      <c r="A269" s="786"/>
      <c r="B269" s="787"/>
      <c r="C269" s="779"/>
      <c r="D269" s="284">
        <f>Arbejdsark!O510</f>
        <v>0</v>
      </c>
      <c r="E269" s="284">
        <f>D267-D269</f>
        <v>1</v>
      </c>
      <c r="F269" s="284" t="str">
        <f>IF(Projektforudsætninger!B14="Ja",Arbejdsark!U510,"-")</f>
        <v>-</v>
      </c>
      <c r="G269" s="284" t="str">
        <f>IF(Projektforudsætninger!$B$14="Ja",F267-F269,"-")</f>
        <v>-</v>
      </c>
      <c r="H269" s="241" t="s">
        <v>495</v>
      </c>
      <c r="I269" s="251" t="str">
        <f>IF('Sortering af spørgsmål'!$C$30=Projektforudsætninger!$C$20,"","-")</f>
        <v>-</v>
      </c>
      <c r="J269" s="251" t="str">
        <f>IF('Sortering af spørgsmål'!$C$30=Projektforudsætninger!$C$21,"","-")</f>
        <v>-</v>
      </c>
      <c r="K269" s="251" t="str">
        <f>IF('Sortering af spørgsmål'!$C$30=Projektforudsætninger!$C$22,"","-")</f>
        <v>-</v>
      </c>
      <c r="L269" s="251" t="str">
        <f>IF('Sortering af spørgsmål'!$C$30=Projektforudsætninger!$C$23,"","-")</f>
        <v>-</v>
      </c>
      <c r="M269" s="251" t="str">
        <f>IF('Sortering af spørgsmål'!$C$30=Projektforudsætninger!$C$24,"","-")</f>
        <v>-</v>
      </c>
      <c r="N269" s="251" t="str">
        <f>IF('Sortering af spørgsmål'!$C$30=Projektforudsætninger!$C$25,"","-")</f>
        <v>-</v>
      </c>
      <c r="O269" s="251" t="str">
        <f>IF('Sortering af spørgsmål'!$C$30=Projektforudsætninger!$C$26,"","-")</f>
        <v>-</v>
      </c>
      <c r="P269" s="251" t="str">
        <f>IF('Sortering af spørgsmål'!$C$30=Projektforudsætninger!$C$19,"","-")</f>
        <v>-</v>
      </c>
      <c r="Q269" s="259"/>
    </row>
    <row r="270" spans="1:17" s="222" customFormat="1" ht="15" customHeight="1" x14ac:dyDescent="0.45">
      <c r="A270" s="786"/>
      <c r="B270" s="787"/>
      <c r="C270" s="779" t="str">
        <f>Arbejdsark!C512</f>
        <v>Brugermanual - indhold og ansvar</v>
      </c>
      <c r="D270" s="282">
        <f>Arbejdsark!O513</f>
        <v>1</v>
      </c>
      <c r="E270" s="282">
        <f>D270-D270</f>
        <v>0</v>
      </c>
      <c r="F270" s="282" t="str">
        <f>IF(Projektforudsætninger!B14="Ja",Arbejdsark!U513,"-")</f>
        <v>-</v>
      </c>
      <c r="G270" s="282" t="str">
        <f>IF(Projektforudsætninger!$B$14="Ja",F270-F270,"-")</f>
        <v>-</v>
      </c>
      <c r="H270" s="237" t="s">
        <v>498</v>
      </c>
      <c r="I270" s="249" t="str">
        <f>IF('Sortering af spørgsmål'!$C$30=Projektforudsætninger!$C$20,"","-")</f>
        <v>-</v>
      </c>
      <c r="J270" s="249" t="str">
        <f>IF('Sortering af spørgsmål'!$C$30=Projektforudsætninger!$C$21,"","-")</f>
        <v>-</v>
      </c>
      <c r="K270" s="249" t="str">
        <f>IF('Sortering af spørgsmål'!$C$30=Projektforudsætninger!$C$22,"","-")</f>
        <v>-</v>
      </c>
      <c r="L270" s="249" t="str">
        <f>IF('Sortering af spørgsmål'!$C$30=Projektforudsætninger!$C$23,"","-")</f>
        <v>-</v>
      </c>
      <c r="M270" s="249" t="str">
        <f>IF('Sortering af spørgsmål'!$C$30=Projektforudsætninger!$C$24,"","-")</f>
        <v>-</v>
      </c>
      <c r="N270" s="249" t="str">
        <f>IF('Sortering af spørgsmål'!$C$30=Projektforudsætninger!$C$25,"","-")</f>
        <v>-</v>
      </c>
      <c r="O270" s="249" t="str">
        <f>IF('Sortering af spørgsmål'!$C$30=Projektforudsætninger!$C$26,"","-")</f>
        <v>-</v>
      </c>
      <c r="P270" s="249" t="str">
        <f>IF('Sortering af spørgsmål'!$C$30=Projektforudsætninger!$C$19,"","-")</f>
        <v>-</v>
      </c>
      <c r="Q270" s="258"/>
    </row>
    <row r="271" spans="1:17" ht="15" customHeight="1" x14ac:dyDescent="0.45">
      <c r="A271" s="786"/>
      <c r="B271" s="787"/>
      <c r="C271" s="779"/>
      <c r="D271" s="283">
        <f>Arbejdsark!O514</f>
        <v>1</v>
      </c>
      <c r="E271" s="283">
        <f>D270-D271</f>
        <v>0</v>
      </c>
      <c r="F271" s="283" t="str">
        <f>IF(Projektforudsætninger!B14="Ja",Arbejdsark!U514,"-")</f>
        <v>-</v>
      </c>
      <c r="G271" s="283" t="str">
        <f>IF(Projektforudsætninger!$B$14="Ja",F270-F271,"-")</f>
        <v>-</v>
      </c>
      <c r="H271" s="239" t="s">
        <v>499</v>
      </c>
      <c r="I271" s="250" t="str">
        <f>IF('Sortering af spørgsmål'!$C$30=Projektforudsætninger!$C$20,"","-")</f>
        <v>-</v>
      </c>
      <c r="J271" s="250" t="str">
        <f>IF('Sortering af spørgsmål'!$C$30=Projektforudsætninger!$C$21,"","-")</f>
        <v>-</v>
      </c>
      <c r="K271" s="250" t="str">
        <f>IF('Sortering af spørgsmål'!$C$30=Projektforudsætninger!$C$22,"","-")</f>
        <v>-</v>
      </c>
      <c r="L271" s="250" t="str">
        <f>IF('Sortering af spørgsmål'!$C$30=Projektforudsætninger!$C$23,"","-")</f>
        <v>-</v>
      </c>
      <c r="M271" s="250" t="str">
        <f>IF('Sortering af spørgsmål'!$C$30=Projektforudsætninger!$C$24,"","-")</f>
        <v>-</v>
      </c>
      <c r="N271" s="250" t="str">
        <f>IF('Sortering af spørgsmål'!$C$30=Projektforudsætninger!$C$25,"","-")</f>
        <v>-</v>
      </c>
      <c r="O271" s="250" t="str">
        <f>IF('Sortering af spørgsmål'!$C$30=Projektforudsætninger!$C$26,"","-")</f>
        <v>-</v>
      </c>
      <c r="P271" s="250" t="str">
        <f>IF('Sortering af spørgsmål'!$C$30=Projektforudsætninger!$C$19,"","-")</f>
        <v>-</v>
      </c>
      <c r="Q271" s="259"/>
    </row>
    <row r="272" spans="1:17" ht="15" customHeight="1" x14ac:dyDescent="0.45">
      <c r="A272" s="786"/>
      <c r="B272" s="787"/>
      <c r="C272" s="779"/>
      <c r="D272" s="284">
        <f>Arbejdsark!O515</f>
        <v>0</v>
      </c>
      <c r="E272" s="284">
        <f>D270-D272</f>
        <v>1</v>
      </c>
      <c r="F272" s="284" t="str">
        <f>IF(Projektforudsætninger!B14="Ja",Arbejdsark!U515,"-")</f>
        <v>-</v>
      </c>
      <c r="G272" s="284" t="str">
        <f>IF(Projektforudsætninger!$B$14="Ja",F270-F272,"-")</f>
        <v>-</v>
      </c>
      <c r="H272" s="241" t="s">
        <v>495</v>
      </c>
      <c r="I272" s="251" t="str">
        <f>IF('Sortering af spørgsmål'!$C$30=Projektforudsætninger!$C$20,"","-")</f>
        <v>-</v>
      </c>
      <c r="J272" s="251" t="str">
        <f>IF('Sortering af spørgsmål'!$C$30=Projektforudsætninger!$C$21,"","-")</f>
        <v>-</v>
      </c>
      <c r="K272" s="251" t="str">
        <f>IF('Sortering af spørgsmål'!$C$30=Projektforudsætninger!$C$22,"","-")</f>
        <v>-</v>
      </c>
      <c r="L272" s="251" t="str">
        <f>IF('Sortering af spørgsmål'!$C$30=Projektforudsætninger!$C$23,"","-")</f>
        <v>-</v>
      </c>
      <c r="M272" s="251" t="str">
        <f>IF('Sortering af spørgsmål'!$C$30=Projektforudsætninger!$C$24,"","-")</f>
        <v>-</v>
      </c>
      <c r="N272" s="251" t="str">
        <f>IF('Sortering af spørgsmål'!$C$30=Projektforudsætninger!$C$25,"","-")</f>
        <v>-</v>
      </c>
      <c r="O272" s="251" t="str">
        <f>IF('Sortering af spørgsmål'!$C$30=Projektforudsætninger!$C$26,"","-")</f>
        <v>-</v>
      </c>
      <c r="P272" s="251" t="str">
        <f>IF('Sortering af spørgsmål'!$C$30=Projektforudsætninger!$C$19,"","-")</f>
        <v>-</v>
      </c>
      <c r="Q272" s="259"/>
    </row>
    <row r="273" spans="1:17" s="222" customFormat="1" ht="15" customHeight="1" x14ac:dyDescent="0.45">
      <c r="A273" s="786"/>
      <c r="B273" s="787" t="str">
        <f>Arbejdsark!A517</f>
        <v>Byggeplads</v>
      </c>
      <c r="C273" s="779" t="str">
        <f>Arbejdsark!C517</f>
        <v>Affald</v>
      </c>
      <c r="D273" s="282">
        <f>Arbejdsark!O518</f>
        <v>1</v>
      </c>
      <c r="E273" s="282">
        <f>D273-D273</f>
        <v>0</v>
      </c>
      <c r="F273" s="282" t="str">
        <f>IF(Projektforudsætninger!B14="Ja",Arbejdsark!U518,"-")</f>
        <v>-</v>
      </c>
      <c r="G273" s="282" t="str">
        <f>IF(Projektforudsætninger!$B$14="Ja",F273-F273,"-")</f>
        <v>-</v>
      </c>
      <c r="H273" s="237" t="s">
        <v>498</v>
      </c>
      <c r="I273" s="249" t="str">
        <f>IF('Sortering af spørgsmål'!$C$31=Projektforudsætninger!$C$20,"","-")</f>
        <v>-</v>
      </c>
      <c r="J273" s="249" t="str">
        <f>IF('Sortering af spørgsmål'!$C$31=Projektforudsætninger!$C$21,"","-")</f>
        <v>-</v>
      </c>
      <c r="K273" s="249" t="str">
        <f>IF('Sortering af spørgsmål'!$C$31=Projektforudsætninger!$C$22,"","-")</f>
        <v>-</v>
      </c>
      <c r="L273" s="249" t="str">
        <f>IF('Sortering af spørgsmål'!$C$31=Projektforudsætninger!$C$23,"","-")</f>
        <v>-</v>
      </c>
      <c r="M273" s="249" t="str">
        <f>IF('Sortering af spørgsmål'!$C$31=Projektforudsætninger!$C$24,"","-")</f>
        <v>-</v>
      </c>
      <c r="N273" s="249" t="str">
        <f>IF('Sortering af spørgsmål'!$C$31=Projektforudsætninger!$C$25,"","-")</f>
        <v>-</v>
      </c>
      <c r="O273" s="249" t="str">
        <f>IF('Sortering af spørgsmål'!$C$31=Projektforudsætninger!$C$26,"","-")</f>
        <v>-</v>
      </c>
      <c r="P273" s="249" t="str">
        <f>IF('Sortering af spørgsmål'!$C$31=Projektforudsætninger!$C$19,"","-")</f>
        <v>-</v>
      </c>
      <c r="Q273" s="258"/>
    </row>
    <row r="274" spans="1:17" ht="15" customHeight="1" x14ac:dyDescent="0.45">
      <c r="A274" s="786"/>
      <c r="B274" s="787"/>
      <c r="C274" s="779"/>
      <c r="D274" s="283">
        <f>Arbejdsark!O519</f>
        <v>1</v>
      </c>
      <c r="E274" s="283">
        <f>D273-D274</f>
        <v>0</v>
      </c>
      <c r="F274" s="283" t="str">
        <f>IF(Projektforudsætninger!B14="Ja",Arbejdsark!U519,"-")</f>
        <v>-</v>
      </c>
      <c r="G274" s="283" t="str">
        <f>IF(Projektforudsætninger!$B$14="Ja",F273-F274,"-")</f>
        <v>-</v>
      </c>
      <c r="H274" s="239" t="s">
        <v>499</v>
      </c>
      <c r="I274" s="250" t="str">
        <f>IF('Sortering af spørgsmål'!$C$31=Projektforudsætninger!$C$20,"","-")</f>
        <v>-</v>
      </c>
      <c r="J274" s="250" t="str">
        <f>IF('Sortering af spørgsmål'!$C$31=Projektforudsætninger!$C$21,"","-")</f>
        <v>-</v>
      </c>
      <c r="K274" s="250" t="str">
        <f>IF('Sortering af spørgsmål'!$C$31=Projektforudsætninger!$C$22,"","-")</f>
        <v>-</v>
      </c>
      <c r="L274" s="250" t="str">
        <f>IF('Sortering af spørgsmål'!$C$31=Projektforudsætninger!$C$23,"","-")</f>
        <v>-</v>
      </c>
      <c r="M274" s="250" t="str">
        <f>IF('Sortering af spørgsmål'!$C$31=Projektforudsætninger!$C$24,"","-")</f>
        <v>-</v>
      </c>
      <c r="N274" s="250" t="str">
        <f>IF('Sortering af spørgsmål'!$C$31=Projektforudsætninger!$C$25,"","-")</f>
        <v>-</v>
      </c>
      <c r="O274" s="250" t="str">
        <f>IF('Sortering af spørgsmål'!$C$31=Projektforudsætninger!$C$26,"","-")</f>
        <v>-</v>
      </c>
      <c r="P274" s="250" t="str">
        <f>IF('Sortering af spørgsmål'!$C$31=Projektforudsætninger!$C$19,"","-")</f>
        <v>-</v>
      </c>
      <c r="Q274" s="259"/>
    </row>
    <row r="275" spans="1:17" ht="15" customHeight="1" x14ac:dyDescent="0.45">
      <c r="A275" s="786"/>
      <c r="B275" s="787"/>
      <c r="C275" s="779"/>
      <c r="D275" s="284">
        <f>Arbejdsark!O520</f>
        <v>0</v>
      </c>
      <c r="E275" s="284">
        <f>D273-D275</f>
        <v>1</v>
      </c>
      <c r="F275" s="284" t="str">
        <f>IF(Projektforudsætninger!B14="Ja",Arbejdsark!U520,"-")</f>
        <v>-</v>
      </c>
      <c r="G275" s="284" t="str">
        <f>IF(Projektforudsætninger!$B$14="Ja",F273-F275,"-")</f>
        <v>-</v>
      </c>
      <c r="H275" s="241" t="s">
        <v>495</v>
      </c>
      <c r="I275" s="251" t="str">
        <f>IF('Sortering af spørgsmål'!$C$31=Projektforudsætninger!$C$20,"","-")</f>
        <v>-</v>
      </c>
      <c r="J275" s="251" t="str">
        <f>IF('Sortering af spørgsmål'!$C$31=Projektforudsætninger!$C$21,"","-")</f>
        <v>-</v>
      </c>
      <c r="K275" s="251" t="str">
        <f>IF('Sortering af spørgsmål'!$C$31=Projektforudsætninger!$C$22,"","-")</f>
        <v>-</v>
      </c>
      <c r="L275" s="251" t="str">
        <f>IF('Sortering af spørgsmål'!$C$31=Projektforudsætninger!$C$23,"","-")</f>
        <v>-</v>
      </c>
      <c r="M275" s="251" t="str">
        <f>IF('Sortering af spørgsmål'!$C$31=Projektforudsætninger!$C$24,"","-")</f>
        <v>-</v>
      </c>
      <c r="N275" s="251" t="str">
        <f>IF('Sortering af spørgsmål'!$C$31=Projektforudsætninger!$C$25,"","-")</f>
        <v>-</v>
      </c>
      <c r="O275" s="251" t="str">
        <f>IF('Sortering af spørgsmål'!$C$31=Projektforudsætninger!$C$26,"","-")</f>
        <v>-</v>
      </c>
      <c r="P275" s="251" t="str">
        <f>IF('Sortering af spørgsmål'!$C$31=Projektforudsætninger!$C$19,"","-")</f>
        <v>-</v>
      </c>
      <c r="Q275" s="259"/>
    </row>
    <row r="276" spans="1:17" s="222" customFormat="1" ht="15" customHeight="1" x14ac:dyDescent="0.45">
      <c r="A276" s="786"/>
      <c r="B276" s="787"/>
      <c r="C276" s="779" t="str">
        <f>Arbejdsark!C522</f>
        <v>Støj og vibrationer</v>
      </c>
      <c r="D276" s="282">
        <f>Arbejdsark!O523</f>
        <v>1</v>
      </c>
      <c r="E276" s="282">
        <f>D276-D276</f>
        <v>0</v>
      </c>
      <c r="F276" s="282" t="str">
        <f>IF(Projektforudsætninger!B14="Ja",Arbejdsark!U523,"-")</f>
        <v>-</v>
      </c>
      <c r="G276" s="282" t="str">
        <f>IF(Projektforudsætninger!$B$14="Ja",F276-F276,"-")</f>
        <v>-</v>
      </c>
      <c r="H276" s="237" t="s">
        <v>498</v>
      </c>
      <c r="I276" s="249" t="str">
        <f>IF('Sortering af spørgsmål'!$C$31=Projektforudsætninger!$C$20,"","-")</f>
        <v>-</v>
      </c>
      <c r="J276" s="249" t="str">
        <f>IF('Sortering af spørgsmål'!$C$31=Projektforudsætninger!$C$21,"","-")</f>
        <v>-</v>
      </c>
      <c r="K276" s="249" t="str">
        <f>IF('Sortering af spørgsmål'!$C$31=Projektforudsætninger!$C$22,"","-")</f>
        <v>-</v>
      </c>
      <c r="L276" s="249" t="str">
        <f>IF('Sortering af spørgsmål'!$C$31=Projektforudsætninger!$C$23,"","-")</f>
        <v>-</v>
      </c>
      <c r="M276" s="249" t="str">
        <f>IF('Sortering af spørgsmål'!$C$31=Projektforudsætninger!$C$24,"","-")</f>
        <v>-</v>
      </c>
      <c r="N276" s="249" t="str">
        <f>IF('Sortering af spørgsmål'!$C$31=Projektforudsætninger!$C$25,"","-")</f>
        <v>-</v>
      </c>
      <c r="O276" s="249" t="str">
        <f>IF('Sortering af spørgsmål'!$C$31=Projektforudsætninger!$C$26,"","-")</f>
        <v>-</v>
      </c>
      <c r="P276" s="249" t="str">
        <f>IF('Sortering af spørgsmål'!$C$31=Projektforudsætninger!$C$19,"","-")</f>
        <v>-</v>
      </c>
      <c r="Q276" s="258"/>
    </row>
    <row r="277" spans="1:17" ht="15" customHeight="1" x14ac:dyDescent="0.45">
      <c r="A277" s="786"/>
      <c r="B277" s="787"/>
      <c r="C277" s="779"/>
      <c r="D277" s="283">
        <f>Arbejdsark!O524</f>
        <v>1</v>
      </c>
      <c r="E277" s="283">
        <f>D276-D277</f>
        <v>0</v>
      </c>
      <c r="F277" s="283" t="str">
        <f>IF(Projektforudsætninger!B14="Ja",Arbejdsark!U524,"-")</f>
        <v>-</v>
      </c>
      <c r="G277" s="283" t="str">
        <f>IF(Projektforudsætninger!$B$14="Ja",F276-F277,"-")</f>
        <v>-</v>
      </c>
      <c r="H277" s="239" t="s">
        <v>499</v>
      </c>
      <c r="I277" s="250" t="str">
        <f>IF('Sortering af spørgsmål'!$C$31=Projektforudsætninger!$C$20,"","-")</f>
        <v>-</v>
      </c>
      <c r="J277" s="250" t="str">
        <f>IF('Sortering af spørgsmål'!$C$31=Projektforudsætninger!$C$21,"","-")</f>
        <v>-</v>
      </c>
      <c r="K277" s="250" t="str">
        <f>IF('Sortering af spørgsmål'!$C$31=Projektforudsætninger!$C$22,"","-")</f>
        <v>-</v>
      </c>
      <c r="L277" s="250" t="str">
        <f>IF('Sortering af spørgsmål'!$C$31=Projektforudsætninger!$C$23,"","-")</f>
        <v>-</v>
      </c>
      <c r="M277" s="250" t="str">
        <f>IF('Sortering af spørgsmål'!$C$31=Projektforudsætninger!$C$24,"","-")</f>
        <v>-</v>
      </c>
      <c r="N277" s="250" t="str">
        <f>IF('Sortering af spørgsmål'!$C$31=Projektforudsætninger!$C$25,"","-")</f>
        <v>-</v>
      </c>
      <c r="O277" s="250" t="str">
        <f>IF('Sortering af spørgsmål'!$C$31=Projektforudsætninger!$C$26,"","-")</f>
        <v>-</v>
      </c>
      <c r="P277" s="250" t="str">
        <f>IF('Sortering af spørgsmål'!$C$31=Projektforudsætninger!$C$19,"","-")</f>
        <v>-</v>
      </c>
      <c r="Q277" s="259"/>
    </row>
    <row r="278" spans="1:17" ht="15" customHeight="1" x14ac:dyDescent="0.45">
      <c r="A278" s="786"/>
      <c r="B278" s="787"/>
      <c r="C278" s="779"/>
      <c r="D278" s="284">
        <f>Arbejdsark!O525</f>
        <v>0</v>
      </c>
      <c r="E278" s="284">
        <f>D276-D278</f>
        <v>1</v>
      </c>
      <c r="F278" s="284" t="str">
        <f>IF(Projektforudsætninger!B14="Ja",Arbejdsark!U525,"-")</f>
        <v>-</v>
      </c>
      <c r="G278" s="284" t="str">
        <f>IF(Projektforudsætninger!$B$14="Ja",F276-F278,"-")</f>
        <v>-</v>
      </c>
      <c r="H278" s="241" t="s">
        <v>495</v>
      </c>
      <c r="I278" s="251" t="str">
        <f>IF('Sortering af spørgsmål'!$C$31=Projektforudsætninger!$C$20,"","-")</f>
        <v>-</v>
      </c>
      <c r="J278" s="251" t="str">
        <f>IF('Sortering af spørgsmål'!$C$31=Projektforudsætninger!$C$21,"","-")</f>
        <v>-</v>
      </c>
      <c r="K278" s="251" t="str">
        <f>IF('Sortering af spørgsmål'!$C$31=Projektforudsætninger!$C$22,"","-")</f>
        <v>-</v>
      </c>
      <c r="L278" s="251" t="str">
        <f>IF('Sortering af spørgsmål'!$C$31=Projektforudsætninger!$C$23,"","-")</f>
        <v>-</v>
      </c>
      <c r="M278" s="251" t="str">
        <f>IF('Sortering af spørgsmål'!$C$31=Projektforudsætninger!$C$24,"","-")</f>
        <v>-</v>
      </c>
      <c r="N278" s="251" t="str">
        <f>IF('Sortering af spørgsmål'!$C$31=Projektforudsætninger!$C$25,"","-")</f>
        <v>-</v>
      </c>
      <c r="O278" s="251" t="str">
        <f>IF('Sortering af spørgsmål'!$C$31=Projektforudsætninger!$C$26,"","-")</f>
        <v>-</v>
      </c>
      <c r="P278" s="251" t="str">
        <f>IF('Sortering af spørgsmål'!$C$31=Projektforudsætninger!$C$19,"","-")</f>
        <v>-</v>
      </c>
      <c r="Q278" s="259"/>
    </row>
    <row r="279" spans="1:17" s="222" customFormat="1" ht="15" customHeight="1" x14ac:dyDescent="0.45">
      <c r="A279" s="786"/>
      <c r="B279" s="787"/>
      <c r="C279" s="779" t="str">
        <f>Arbejdsark!C527</f>
        <v>Støv</v>
      </c>
      <c r="D279" s="282">
        <f>Arbejdsark!O528</f>
        <v>1</v>
      </c>
      <c r="E279" s="282">
        <f>D279-D279</f>
        <v>0</v>
      </c>
      <c r="F279" s="282" t="str">
        <f>IF(Projektforudsætninger!B14="Ja",Arbejdsark!U528,"-")</f>
        <v>-</v>
      </c>
      <c r="G279" s="282" t="str">
        <f>IF(Projektforudsætninger!$B$14="Ja",F279-F279,"-")</f>
        <v>-</v>
      </c>
      <c r="H279" s="237" t="s">
        <v>498</v>
      </c>
      <c r="I279" s="249" t="str">
        <f>IF('Sortering af spørgsmål'!$C$31=Projektforudsætninger!$C$20,"","-")</f>
        <v>-</v>
      </c>
      <c r="J279" s="249" t="str">
        <f>IF('Sortering af spørgsmål'!$C$31=Projektforudsætninger!$C$21,"","-")</f>
        <v>-</v>
      </c>
      <c r="K279" s="249" t="str">
        <f>IF('Sortering af spørgsmål'!$C$31=Projektforudsætninger!$C$22,"","-")</f>
        <v>-</v>
      </c>
      <c r="L279" s="249" t="str">
        <f>IF('Sortering af spørgsmål'!$C$31=Projektforudsætninger!$C$23,"","-")</f>
        <v>-</v>
      </c>
      <c r="M279" s="249" t="str">
        <f>IF('Sortering af spørgsmål'!$C$31=Projektforudsætninger!$C$24,"","-")</f>
        <v>-</v>
      </c>
      <c r="N279" s="249" t="str">
        <f>IF('Sortering af spørgsmål'!$C$31=Projektforudsætninger!$C$25,"","-")</f>
        <v>-</v>
      </c>
      <c r="O279" s="249" t="str">
        <f>IF('Sortering af spørgsmål'!$C$31=Projektforudsætninger!$C$26,"","-")</f>
        <v>-</v>
      </c>
      <c r="P279" s="249" t="str">
        <f>IF('Sortering af spørgsmål'!$C$31=Projektforudsætninger!$C$19,"","-")</f>
        <v>-</v>
      </c>
      <c r="Q279" s="258"/>
    </row>
    <row r="280" spans="1:17" ht="15" customHeight="1" x14ac:dyDescent="0.45">
      <c r="A280" s="786"/>
      <c r="B280" s="787"/>
      <c r="C280" s="779"/>
      <c r="D280" s="283">
        <f>Arbejdsark!O529</f>
        <v>1</v>
      </c>
      <c r="E280" s="283">
        <f>D279-D280</f>
        <v>0</v>
      </c>
      <c r="F280" s="283" t="str">
        <f>IF(Projektforudsætninger!B14="Ja",Arbejdsark!U529,"-")</f>
        <v>-</v>
      </c>
      <c r="G280" s="283" t="str">
        <f>IF(Projektforudsætninger!$B$14="Ja",F279-F280,"-")</f>
        <v>-</v>
      </c>
      <c r="H280" s="239" t="s">
        <v>499</v>
      </c>
      <c r="I280" s="250" t="str">
        <f>IF('Sortering af spørgsmål'!$C$31=Projektforudsætninger!$C$20,"","-")</f>
        <v>-</v>
      </c>
      <c r="J280" s="250" t="str">
        <f>IF('Sortering af spørgsmål'!$C$31=Projektforudsætninger!$C$21,"","-")</f>
        <v>-</v>
      </c>
      <c r="K280" s="250" t="str">
        <f>IF('Sortering af spørgsmål'!$C$31=Projektforudsætninger!$C$22,"","-")</f>
        <v>-</v>
      </c>
      <c r="L280" s="250" t="str">
        <f>IF('Sortering af spørgsmål'!$C$31=Projektforudsætninger!$C$23,"","-")</f>
        <v>-</v>
      </c>
      <c r="M280" s="250" t="str">
        <f>IF('Sortering af spørgsmål'!$C$31=Projektforudsætninger!$C$24,"","-")</f>
        <v>-</v>
      </c>
      <c r="N280" s="250" t="str">
        <f>IF('Sortering af spørgsmål'!$C$31=Projektforudsætninger!$C$25,"","-")</f>
        <v>-</v>
      </c>
      <c r="O280" s="250" t="str">
        <f>IF('Sortering af spørgsmål'!$C$31=Projektforudsætninger!$C$26,"","-")</f>
        <v>-</v>
      </c>
      <c r="P280" s="250" t="str">
        <f>IF('Sortering af spørgsmål'!$C$31=Projektforudsætninger!$C$19,"","-")</f>
        <v>-</v>
      </c>
      <c r="Q280" s="259"/>
    </row>
    <row r="281" spans="1:17" ht="15" customHeight="1" x14ac:dyDescent="0.45">
      <c r="A281" s="786"/>
      <c r="B281" s="787"/>
      <c r="C281" s="779"/>
      <c r="D281" s="284">
        <f>Arbejdsark!O530</f>
        <v>0</v>
      </c>
      <c r="E281" s="284">
        <f>D279-D281</f>
        <v>1</v>
      </c>
      <c r="F281" s="284" t="str">
        <f>IF(Projektforudsætninger!B14="Ja",Arbejdsark!U530,"-")</f>
        <v>-</v>
      </c>
      <c r="G281" s="284" t="str">
        <f>IF(Projektforudsætninger!$B$14="Ja",F279-F281,"-")</f>
        <v>-</v>
      </c>
      <c r="H281" s="241" t="s">
        <v>495</v>
      </c>
      <c r="I281" s="251" t="str">
        <f>IF('Sortering af spørgsmål'!$C$31=Projektforudsætninger!$C$20,"","-")</f>
        <v>-</v>
      </c>
      <c r="J281" s="251" t="str">
        <f>IF('Sortering af spørgsmål'!$C$31=Projektforudsætninger!$C$21,"","-")</f>
        <v>-</v>
      </c>
      <c r="K281" s="251" t="str">
        <f>IF('Sortering af spørgsmål'!$C$31=Projektforudsætninger!$C$22,"","-")</f>
        <v>-</v>
      </c>
      <c r="L281" s="251" t="str">
        <f>IF('Sortering af spørgsmål'!$C$31=Projektforudsætninger!$C$23,"","-")</f>
        <v>-</v>
      </c>
      <c r="M281" s="251" t="str">
        <f>IF('Sortering af spørgsmål'!$C$31=Projektforudsætninger!$C$24,"","-")</f>
        <v>-</v>
      </c>
      <c r="N281" s="251" t="str">
        <f>IF('Sortering af spørgsmål'!$C$31=Projektforudsætninger!$C$25,"","-")</f>
        <v>-</v>
      </c>
      <c r="O281" s="251" t="str">
        <f>IF('Sortering af spørgsmål'!$C$31=Projektforudsætninger!$C$26,"","-")</f>
        <v>-</v>
      </c>
      <c r="P281" s="251" t="str">
        <f>IF('Sortering af spørgsmål'!$C$31=Projektforudsætninger!$C$19,"","-")</f>
        <v>-</v>
      </c>
      <c r="Q281" s="259"/>
    </row>
    <row r="282" spans="1:17" s="222" customFormat="1" ht="15" customHeight="1" x14ac:dyDescent="0.45">
      <c r="A282" s="786"/>
      <c r="B282" s="787"/>
      <c r="C282" s="779" t="str">
        <f>Arbejdsark!C532</f>
        <v>Miljøbeskyttelse (vand, kemi og beplantning)</v>
      </c>
      <c r="D282" s="282">
        <f>Arbejdsark!O533</f>
        <v>1</v>
      </c>
      <c r="E282" s="282">
        <f>D282-D282</f>
        <v>0</v>
      </c>
      <c r="F282" s="282" t="str">
        <f>IF(Projektforudsætninger!B14="Ja",Arbejdsark!U533,"-")</f>
        <v>-</v>
      </c>
      <c r="G282" s="282" t="str">
        <f>IF(Projektforudsætninger!$B$14="Ja",F282-F282,"-")</f>
        <v>-</v>
      </c>
      <c r="H282" s="237" t="s">
        <v>498</v>
      </c>
      <c r="I282" s="249" t="str">
        <f>IF('Sortering af spørgsmål'!$C$31=Projektforudsætninger!$C$20,"","-")</f>
        <v>-</v>
      </c>
      <c r="J282" s="249" t="str">
        <f>IF('Sortering af spørgsmål'!$C$31=Projektforudsætninger!$C$21,"","-")</f>
        <v>-</v>
      </c>
      <c r="K282" s="249" t="str">
        <f>IF('Sortering af spørgsmål'!$C$31=Projektforudsætninger!$C$22,"","-")</f>
        <v>-</v>
      </c>
      <c r="L282" s="249" t="str">
        <f>IF('Sortering af spørgsmål'!$C$31=Projektforudsætninger!$C$23,"","-")</f>
        <v>-</v>
      </c>
      <c r="M282" s="249" t="str">
        <f>IF('Sortering af spørgsmål'!$C$31=Projektforudsætninger!$C$24,"","-")</f>
        <v>-</v>
      </c>
      <c r="N282" s="249" t="str">
        <f>IF('Sortering af spørgsmål'!$C$31=Projektforudsætninger!$C$25,"","-")</f>
        <v>-</v>
      </c>
      <c r="O282" s="249" t="str">
        <f>IF('Sortering af spørgsmål'!$C$31=Projektforudsætninger!$C$26,"","-")</f>
        <v>-</v>
      </c>
      <c r="P282" s="249" t="str">
        <f>IF('Sortering af spørgsmål'!$C$31=Projektforudsætninger!$C$19,"","-")</f>
        <v>-</v>
      </c>
      <c r="Q282" s="258"/>
    </row>
    <row r="283" spans="1:17" ht="15" customHeight="1" x14ac:dyDescent="0.45">
      <c r="A283" s="786"/>
      <c r="B283" s="787"/>
      <c r="C283" s="779"/>
      <c r="D283" s="283">
        <f>Arbejdsark!O534</f>
        <v>1</v>
      </c>
      <c r="E283" s="283">
        <f>D282-D283</f>
        <v>0</v>
      </c>
      <c r="F283" s="283" t="str">
        <f>IF(Projektforudsætninger!B14="Ja",Arbejdsark!U534,"-")</f>
        <v>-</v>
      </c>
      <c r="G283" s="283" t="str">
        <f>IF(Projektforudsætninger!$B$14="Ja",F282-F283,"-")</f>
        <v>-</v>
      </c>
      <c r="H283" s="239" t="s">
        <v>499</v>
      </c>
      <c r="I283" s="250" t="str">
        <f>IF('Sortering af spørgsmål'!$C$31=Projektforudsætninger!$C$20,"","-")</f>
        <v>-</v>
      </c>
      <c r="J283" s="250" t="str">
        <f>IF('Sortering af spørgsmål'!$C$31=Projektforudsætninger!$C$21,"","-")</f>
        <v>-</v>
      </c>
      <c r="K283" s="250" t="str">
        <f>IF('Sortering af spørgsmål'!$C$31=Projektforudsætninger!$C$22,"","-")</f>
        <v>-</v>
      </c>
      <c r="L283" s="250" t="str">
        <f>IF('Sortering af spørgsmål'!$C$31=Projektforudsætninger!$C$23,"","-")</f>
        <v>-</v>
      </c>
      <c r="M283" s="250" t="str">
        <f>IF('Sortering af spørgsmål'!$C$31=Projektforudsætninger!$C$24,"","-")</f>
        <v>-</v>
      </c>
      <c r="N283" s="250" t="str">
        <f>IF('Sortering af spørgsmål'!$C$31=Projektforudsætninger!$C$25,"","-")</f>
        <v>-</v>
      </c>
      <c r="O283" s="250" t="str">
        <f>IF('Sortering af spørgsmål'!$C$31=Projektforudsætninger!$C$26,"","-")</f>
        <v>-</v>
      </c>
      <c r="P283" s="250" t="str">
        <f>IF('Sortering af spørgsmål'!$C$31=Projektforudsætninger!$C$19,"","-")</f>
        <v>-</v>
      </c>
      <c r="Q283" s="259"/>
    </row>
    <row r="284" spans="1:17" ht="15" customHeight="1" x14ac:dyDescent="0.45">
      <c r="A284" s="786"/>
      <c r="B284" s="787"/>
      <c r="C284" s="779"/>
      <c r="D284" s="284">
        <f>Arbejdsark!O535</f>
        <v>0</v>
      </c>
      <c r="E284" s="284">
        <f>D282-D284</f>
        <v>1</v>
      </c>
      <c r="F284" s="284" t="str">
        <f>IF(Projektforudsætninger!B14="Ja",Arbejdsark!U535,"-")</f>
        <v>-</v>
      </c>
      <c r="G284" s="284" t="str">
        <f>IF(Projektforudsætninger!$B$14="Ja",F282-F284,"-")</f>
        <v>-</v>
      </c>
      <c r="H284" s="241" t="s">
        <v>495</v>
      </c>
      <c r="I284" s="251" t="str">
        <f>IF('Sortering af spørgsmål'!$C$31=Projektforudsætninger!$C$20,"","-")</f>
        <v>-</v>
      </c>
      <c r="J284" s="251" t="str">
        <f>IF('Sortering af spørgsmål'!$C$31=Projektforudsætninger!$C$21,"","-")</f>
        <v>-</v>
      </c>
      <c r="K284" s="251" t="str">
        <f>IF('Sortering af spørgsmål'!$C$31=Projektforudsætninger!$C$22,"","-")</f>
        <v>-</v>
      </c>
      <c r="L284" s="251" t="str">
        <f>IF('Sortering af spørgsmål'!$C$31=Projektforudsætninger!$C$23,"","-")</f>
        <v>-</v>
      </c>
      <c r="M284" s="251" t="str">
        <f>IF('Sortering af spørgsmål'!$C$31=Projektforudsætninger!$C$24,"","-")</f>
        <v>-</v>
      </c>
      <c r="N284" s="251" t="str">
        <f>IF('Sortering af spørgsmål'!$C$31=Projektforudsætninger!$C$25,"","-")</f>
        <v>-</v>
      </c>
      <c r="O284" s="251" t="str">
        <f>IF('Sortering af spørgsmål'!$C$31=Projektforudsætninger!$C$26,"","-")</f>
        <v>-</v>
      </c>
      <c r="P284" s="251" t="str">
        <f>IF('Sortering af spørgsmål'!$C$31=Projektforudsætninger!$C$19,"","-")</f>
        <v>-</v>
      </c>
      <c r="Q284" s="259"/>
    </row>
    <row r="285" spans="1:17" s="222" customFormat="1" ht="15" customHeight="1" x14ac:dyDescent="0.45">
      <c r="A285" s="786"/>
      <c r="B285" s="787"/>
      <c r="C285" s="779" t="str">
        <f>Arbejdsark!C537</f>
        <v>Energi</v>
      </c>
      <c r="D285" s="282">
        <f>Arbejdsark!O538</f>
        <v>1</v>
      </c>
      <c r="E285" s="282">
        <f>D285-D285</f>
        <v>0</v>
      </c>
      <c r="F285" s="282" t="str">
        <f>IF(Projektforudsætninger!B14="Ja",Arbejdsark!U538,"-")</f>
        <v>-</v>
      </c>
      <c r="G285" s="282" t="str">
        <f>IF(Projektforudsætninger!$B$14="Ja",F285-F285,"-")</f>
        <v>-</v>
      </c>
      <c r="H285" s="237" t="s">
        <v>498</v>
      </c>
      <c r="I285" s="249" t="str">
        <f>IF('Sortering af spørgsmål'!$C$31=Projektforudsætninger!$C$20,"","-")</f>
        <v>-</v>
      </c>
      <c r="J285" s="249" t="str">
        <f>IF('Sortering af spørgsmål'!$C$31=Projektforudsætninger!$C$21,"","-")</f>
        <v>-</v>
      </c>
      <c r="K285" s="249" t="str">
        <f>IF('Sortering af spørgsmål'!$C$31=Projektforudsætninger!$C$22,"","-")</f>
        <v>-</v>
      </c>
      <c r="L285" s="249" t="str">
        <f>IF('Sortering af spørgsmål'!$C$31=Projektforudsætninger!$C$23,"","-")</f>
        <v>-</v>
      </c>
      <c r="M285" s="249" t="str">
        <f>IF('Sortering af spørgsmål'!$C$31=Projektforudsætninger!$C$24,"","-")</f>
        <v>-</v>
      </c>
      <c r="N285" s="249" t="str">
        <f>IF('Sortering af spørgsmål'!$C$31=Projektforudsætninger!$C$25,"","-")</f>
        <v>-</v>
      </c>
      <c r="O285" s="249" t="str">
        <f>IF('Sortering af spørgsmål'!$C$31=Projektforudsætninger!$C$26,"","-")</f>
        <v>-</v>
      </c>
      <c r="P285" s="249" t="str">
        <f>IF('Sortering af spørgsmål'!$C$31=Projektforudsætninger!$C$19,"","-")</f>
        <v>-</v>
      </c>
      <c r="Q285" s="258"/>
    </row>
    <row r="286" spans="1:17" ht="15" customHeight="1" x14ac:dyDescent="0.45">
      <c r="A286" s="786"/>
      <c r="B286" s="787"/>
      <c r="C286" s="779"/>
      <c r="D286" s="283">
        <f>Arbejdsark!O539</f>
        <v>1</v>
      </c>
      <c r="E286" s="283">
        <f>D285-D286</f>
        <v>0</v>
      </c>
      <c r="F286" s="283" t="str">
        <f>IF(Projektforudsætninger!B14="Ja",Arbejdsark!U539,"-")</f>
        <v>-</v>
      </c>
      <c r="G286" s="283" t="str">
        <f>IF(Projektforudsætninger!$B$14="Ja",F285-F286,"-")</f>
        <v>-</v>
      </c>
      <c r="H286" s="239" t="s">
        <v>499</v>
      </c>
      <c r="I286" s="250" t="str">
        <f>IF('Sortering af spørgsmål'!$C$31=Projektforudsætninger!$C$20,"","-")</f>
        <v>-</v>
      </c>
      <c r="J286" s="250" t="str">
        <f>IF('Sortering af spørgsmål'!$C$31=Projektforudsætninger!$C$21,"","-")</f>
        <v>-</v>
      </c>
      <c r="K286" s="250" t="str">
        <f>IF('Sortering af spørgsmål'!$C$31=Projektforudsætninger!$C$22,"","-")</f>
        <v>-</v>
      </c>
      <c r="L286" s="250" t="str">
        <f>IF('Sortering af spørgsmål'!$C$31=Projektforudsætninger!$C$23,"","-")</f>
        <v>-</v>
      </c>
      <c r="M286" s="250" t="str">
        <f>IF('Sortering af spørgsmål'!$C$31=Projektforudsætninger!$C$24,"","-")</f>
        <v>-</v>
      </c>
      <c r="N286" s="250" t="str">
        <f>IF('Sortering af spørgsmål'!$C$31=Projektforudsætninger!$C$25,"","-")</f>
        <v>-</v>
      </c>
      <c r="O286" s="250" t="str">
        <f>IF('Sortering af spørgsmål'!$C$31=Projektforudsætninger!$C$26,"","-")</f>
        <v>-</v>
      </c>
      <c r="P286" s="250" t="str">
        <f>IF('Sortering af spørgsmål'!$C$31=Projektforudsætninger!$C$19,"","-")</f>
        <v>-</v>
      </c>
      <c r="Q286" s="259"/>
    </row>
    <row r="287" spans="1:17" ht="15" customHeight="1" x14ac:dyDescent="0.45">
      <c r="A287" s="786"/>
      <c r="B287" s="787"/>
      <c r="C287" s="779"/>
      <c r="D287" s="284">
        <f>Arbejdsark!O540</f>
        <v>0</v>
      </c>
      <c r="E287" s="284">
        <f>D285-D287</f>
        <v>1</v>
      </c>
      <c r="F287" s="284" t="str">
        <f>IF(Projektforudsætninger!B14="Ja",Arbejdsark!U540,"-")</f>
        <v>-</v>
      </c>
      <c r="G287" s="284" t="str">
        <f>IF(Projektforudsætninger!$B$14="Ja",F285-F287,"-")</f>
        <v>-</v>
      </c>
      <c r="H287" s="241" t="s">
        <v>495</v>
      </c>
      <c r="I287" s="251" t="str">
        <f>IF('Sortering af spørgsmål'!$C$31=Projektforudsætninger!$C$20,"","-")</f>
        <v>-</v>
      </c>
      <c r="J287" s="251" t="str">
        <f>IF('Sortering af spørgsmål'!$C$31=Projektforudsætninger!$C$21,"","-")</f>
        <v>-</v>
      </c>
      <c r="K287" s="251" t="str">
        <f>IF('Sortering af spørgsmål'!$C$31=Projektforudsætninger!$C$22,"","-")</f>
        <v>-</v>
      </c>
      <c r="L287" s="251" t="str">
        <f>IF('Sortering af spørgsmål'!$C$31=Projektforudsætninger!$C$23,"","-")</f>
        <v>-</v>
      </c>
      <c r="M287" s="251" t="str">
        <f>IF('Sortering af spørgsmål'!$C$31=Projektforudsætninger!$C$24,"","-")</f>
        <v>-</v>
      </c>
      <c r="N287" s="251" t="str">
        <f>IF('Sortering af spørgsmål'!$C$31=Projektforudsætninger!$C$25,"","-")</f>
        <v>-</v>
      </c>
      <c r="O287" s="251" t="str">
        <f>IF('Sortering af spørgsmål'!$C$31=Projektforudsætninger!$C$26,"","-")</f>
        <v>-</v>
      </c>
      <c r="P287" s="251" t="str">
        <f>IF('Sortering af spørgsmål'!$C$31=Projektforudsætninger!$C$19,"","-")</f>
        <v>-</v>
      </c>
      <c r="Q287" s="259"/>
    </row>
    <row r="288" spans="1:17" s="222" customFormat="1" ht="15" customHeight="1" x14ac:dyDescent="0.45">
      <c r="A288" s="786"/>
      <c r="B288" s="787"/>
      <c r="C288" s="779" t="str">
        <f>Arbejdsark!C542</f>
        <v>Nabohensyn</v>
      </c>
      <c r="D288" s="282">
        <f>Arbejdsark!O543</f>
        <v>1</v>
      </c>
      <c r="E288" s="282">
        <f>D288-D288</f>
        <v>0</v>
      </c>
      <c r="F288" s="282" t="str">
        <f>IF(Projektforudsætninger!B14="Ja",Arbejdsark!U543,"-")</f>
        <v>-</v>
      </c>
      <c r="G288" s="282" t="str">
        <f>IF(Projektforudsætninger!$B$14="Ja",F288-F288,"-")</f>
        <v>-</v>
      </c>
      <c r="H288" s="237" t="s">
        <v>498</v>
      </c>
      <c r="I288" s="249" t="str">
        <f>IF('Sortering af spørgsmål'!$C$31=Projektforudsætninger!$C$20,"","-")</f>
        <v>-</v>
      </c>
      <c r="J288" s="249" t="str">
        <f>IF('Sortering af spørgsmål'!$C$31=Projektforudsætninger!$C$21,"","-")</f>
        <v>-</v>
      </c>
      <c r="K288" s="249" t="str">
        <f>IF('Sortering af spørgsmål'!$C$31=Projektforudsætninger!$C$22,"","-")</f>
        <v>-</v>
      </c>
      <c r="L288" s="249" t="str">
        <f>IF('Sortering af spørgsmål'!$C$31=Projektforudsætninger!$C$23,"","-")</f>
        <v>-</v>
      </c>
      <c r="M288" s="249" t="str">
        <f>IF('Sortering af spørgsmål'!$C$31=Projektforudsætninger!$C$24,"","-")</f>
        <v>-</v>
      </c>
      <c r="N288" s="249" t="str">
        <f>IF('Sortering af spørgsmål'!$C$31=Projektforudsætninger!$C$25,"","-")</f>
        <v>-</v>
      </c>
      <c r="O288" s="249" t="str">
        <f>IF('Sortering af spørgsmål'!$C$31=Projektforudsætninger!$C$26,"","-")</f>
        <v>-</v>
      </c>
      <c r="P288" s="249" t="str">
        <f>IF('Sortering af spørgsmål'!$C$31=Projektforudsætninger!$C$19,"","-")</f>
        <v>-</v>
      </c>
      <c r="Q288" s="258"/>
    </row>
    <row r="289" spans="1:17" ht="15" customHeight="1" x14ac:dyDescent="0.45">
      <c r="A289" s="786"/>
      <c r="B289" s="787"/>
      <c r="C289" s="779"/>
      <c r="D289" s="283">
        <f>Arbejdsark!O544</f>
        <v>1</v>
      </c>
      <c r="E289" s="283">
        <v>0</v>
      </c>
      <c r="F289" s="283" t="str">
        <f>IF(Projektforudsætninger!B14="Ja",Arbejdsark!U544,"-")</f>
        <v>-</v>
      </c>
      <c r="G289" s="283" t="str">
        <f>IF(Projektforudsætninger!$B$14="Ja",F288-F289,"-")</f>
        <v>-</v>
      </c>
      <c r="H289" s="239" t="s">
        <v>499</v>
      </c>
      <c r="I289" s="250" t="str">
        <f>IF('Sortering af spørgsmål'!$C$31=Projektforudsætninger!$C$20,"","-")</f>
        <v>-</v>
      </c>
      <c r="J289" s="250" t="str">
        <f>IF('Sortering af spørgsmål'!$C$31=Projektforudsætninger!$C$21,"","-")</f>
        <v>-</v>
      </c>
      <c r="K289" s="250" t="str">
        <f>IF('Sortering af spørgsmål'!$C$31=Projektforudsætninger!$C$22,"","-")</f>
        <v>-</v>
      </c>
      <c r="L289" s="250" t="str">
        <f>IF('Sortering af spørgsmål'!$C$31=Projektforudsætninger!$C$23,"","-")</f>
        <v>-</v>
      </c>
      <c r="M289" s="250" t="str">
        <f>IF('Sortering af spørgsmål'!$C$31=Projektforudsætninger!$C$24,"","-")</f>
        <v>-</v>
      </c>
      <c r="N289" s="250" t="str">
        <f>IF('Sortering af spørgsmål'!$C$31=Projektforudsætninger!$C$25,"","-")</f>
        <v>-</v>
      </c>
      <c r="O289" s="250" t="str">
        <f>IF('Sortering af spørgsmål'!$C$31=Projektforudsætninger!$C$26,"","-")</f>
        <v>-</v>
      </c>
      <c r="P289" s="250" t="str">
        <f>IF('Sortering af spørgsmål'!$C$31=Projektforudsætninger!$C$19,"","-")</f>
        <v>-</v>
      </c>
      <c r="Q289" s="259"/>
    </row>
    <row r="290" spans="1:17" ht="15" customHeight="1" x14ac:dyDescent="0.45">
      <c r="A290" s="786"/>
      <c r="B290" s="787"/>
      <c r="C290" s="779"/>
      <c r="D290" s="284">
        <f>Arbejdsark!O545</f>
        <v>0</v>
      </c>
      <c r="E290" s="284">
        <f>D288-D290</f>
        <v>1</v>
      </c>
      <c r="F290" s="284" t="str">
        <f>IF(Projektforudsætninger!B14="Ja",Arbejdsark!U545,"-")</f>
        <v>-</v>
      </c>
      <c r="G290" s="284" t="str">
        <f>IF(Projektforudsætninger!$B$14="Ja",F288-F290,"-")</f>
        <v>-</v>
      </c>
      <c r="H290" s="241" t="s">
        <v>495</v>
      </c>
      <c r="I290" s="251" t="str">
        <f>IF('Sortering af spørgsmål'!$C$31=Projektforudsætninger!$C$20,"","-")</f>
        <v>-</v>
      </c>
      <c r="J290" s="251" t="str">
        <f>IF('Sortering af spørgsmål'!$C$31=Projektforudsætninger!$C$21,"","-")</f>
        <v>-</v>
      </c>
      <c r="K290" s="251" t="str">
        <f>IF('Sortering af spørgsmål'!$C$31=Projektforudsætninger!$C$22,"","-")</f>
        <v>-</v>
      </c>
      <c r="L290" s="251" t="str">
        <f>IF('Sortering af spørgsmål'!$C$31=Projektforudsætninger!$C$23,"","-")</f>
        <v>-</v>
      </c>
      <c r="M290" s="251" t="str">
        <f>IF('Sortering af spørgsmål'!$C$31=Projektforudsætninger!$C$24,"","-")</f>
        <v>-</v>
      </c>
      <c r="N290" s="251" t="str">
        <f>IF('Sortering af spørgsmål'!$C$31=Projektforudsætninger!$C$25,"","-")</f>
        <v>-</v>
      </c>
      <c r="O290" s="251" t="str">
        <f>IF('Sortering af spørgsmål'!$C$31=Projektforudsætninger!$C$26,"","-")</f>
        <v>-</v>
      </c>
      <c r="P290" s="251" t="str">
        <f>IF('Sortering af spørgsmål'!$C$31=Projektforudsætninger!$C$19,"","-")</f>
        <v>-</v>
      </c>
      <c r="Q290" s="259"/>
    </row>
    <row r="291" spans="1:17" s="222" customFormat="1" ht="15" customHeight="1" x14ac:dyDescent="0.45">
      <c r="A291" s="786"/>
      <c r="B291" s="780" t="str">
        <f>Arbejdsark!A548</f>
        <v>Eftervisende dokumentation</v>
      </c>
      <c r="C291" s="779" t="str">
        <f>Arbejdsark!C548</f>
        <v>Byggevarer</v>
      </c>
      <c r="D291" s="282">
        <f>Arbejdsark!O549</f>
        <v>2</v>
      </c>
      <c r="E291" s="282">
        <f>D291-D291</f>
        <v>0</v>
      </c>
      <c r="F291" s="282" t="str">
        <f>IF(Projektforudsætninger!B14="Ja",Arbejdsark!U549,"-")</f>
        <v>-</v>
      </c>
      <c r="G291" s="282" t="str">
        <f>IF(Projektforudsætninger!$B$14="Ja",F291-F291,"-")</f>
        <v>-</v>
      </c>
      <c r="H291" s="237" t="s">
        <v>498</v>
      </c>
      <c r="I291" s="249" t="str">
        <f>IF('Sortering af spørgsmål'!$C$32=Projektforudsætninger!$C$20,"","-")</f>
        <v>-</v>
      </c>
      <c r="J291" s="249" t="str">
        <f>IF('Sortering af spørgsmål'!$C$32=Projektforudsætninger!$C$21,"","-")</f>
        <v>-</v>
      </c>
      <c r="K291" s="249" t="str">
        <f>IF('Sortering af spørgsmål'!$C$32=Projektforudsætninger!$C$22,"","-")</f>
        <v>-</v>
      </c>
      <c r="L291" s="249" t="str">
        <f>IF('Sortering af spørgsmål'!$C$32=Projektforudsætninger!$C$23,"","-")</f>
        <v>-</v>
      </c>
      <c r="M291" s="249" t="str">
        <f>IF('Sortering af spørgsmål'!$C$32=Projektforudsætninger!$C$24,"","-")</f>
        <v>-</v>
      </c>
      <c r="N291" s="249" t="str">
        <f>IF('Sortering af spørgsmål'!$C$32=Projektforudsætninger!$C$25,"","-")</f>
        <v>-</v>
      </c>
      <c r="O291" s="249" t="str">
        <f>IF('Sortering af spørgsmål'!$C$32=Projektforudsætninger!$C$26,"","-")</f>
        <v>-</v>
      </c>
      <c r="P291" s="249" t="str">
        <f>IF('Sortering af spørgsmål'!$C$32=Projektforudsætninger!$C$19,"","-")</f>
        <v>-</v>
      </c>
      <c r="Q291" s="258"/>
    </row>
    <row r="292" spans="1:17" ht="15" customHeight="1" x14ac:dyDescent="0.45">
      <c r="A292" s="786"/>
      <c r="B292" s="781"/>
      <c r="C292" s="779"/>
      <c r="D292" s="283">
        <f>Arbejdsark!O550</f>
        <v>1</v>
      </c>
      <c r="E292" s="283">
        <f>D291-D292</f>
        <v>1</v>
      </c>
      <c r="F292" s="283" t="str">
        <f>IF(Projektforudsætninger!B14="Ja",Arbejdsark!U550,"-")</f>
        <v>-</v>
      </c>
      <c r="G292" s="283" t="str">
        <f>IF(Projektforudsætninger!$B$14="Ja",F291-F292,"-")</f>
        <v>-</v>
      </c>
      <c r="H292" s="239" t="s">
        <v>499</v>
      </c>
      <c r="I292" s="250" t="str">
        <f>IF('Sortering af spørgsmål'!$C$32=Projektforudsætninger!$C$20,"","-")</f>
        <v>-</v>
      </c>
      <c r="J292" s="250" t="str">
        <f>IF('Sortering af spørgsmål'!$C$32=Projektforudsætninger!$C$21,"","-")</f>
        <v>-</v>
      </c>
      <c r="K292" s="250" t="str">
        <f>IF('Sortering af spørgsmål'!$C$32=Projektforudsætninger!$C$22,"","-")</f>
        <v>-</v>
      </c>
      <c r="L292" s="250" t="str">
        <f>IF('Sortering af spørgsmål'!$C$32=Projektforudsætninger!$C$23,"","-")</f>
        <v>-</v>
      </c>
      <c r="M292" s="250" t="str">
        <f>IF('Sortering af spørgsmål'!$C$32=Projektforudsætninger!$C$24,"","-")</f>
        <v>-</v>
      </c>
      <c r="N292" s="250" t="str">
        <f>IF('Sortering af spørgsmål'!$C$32=Projektforudsætninger!$C$25,"","-")</f>
        <v>-</v>
      </c>
      <c r="O292" s="250" t="str">
        <f>IF('Sortering af spørgsmål'!$C$32=Projektforudsætninger!$C$26,"","-")</f>
        <v>-</v>
      </c>
      <c r="P292" s="250" t="str">
        <f>IF('Sortering af spørgsmål'!$C$32=Projektforudsætninger!$C$19,"","-")</f>
        <v>-</v>
      </c>
      <c r="Q292" s="259"/>
    </row>
    <row r="293" spans="1:17" ht="15" customHeight="1" x14ac:dyDescent="0.45">
      <c r="A293" s="786"/>
      <c r="B293" s="781"/>
      <c r="C293" s="779"/>
      <c r="D293" s="284">
        <f>Arbejdsark!O551</f>
        <v>0</v>
      </c>
      <c r="E293" s="284">
        <f>D291-D293</f>
        <v>2</v>
      </c>
      <c r="F293" s="284" t="str">
        <f>IF(Projektforudsætninger!B14="Ja",Arbejdsark!U551,"-")</f>
        <v>-</v>
      </c>
      <c r="G293" s="284" t="str">
        <f>IF(Projektforudsætninger!$B$14="Ja",F291-F293,"-")</f>
        <v>-</v>
      </c>
      <c r="H293" s="241" t="s">
        <v>495</v>
      </c>
      <c r="I293" s="251" t="str">
        <f>IF('Sortering af spørgsmål'!$C$32=Projektforudsætninger!$C$20,"","-")</f>
        <v>-</v>
      </c>
      <c r="J293" s="251" t="str">
        <f>IF('Sortering af spørgsmål'!$C$32=Projektforudsætninger!$C$21,"","-")</f>
        <v>-</v>
      </c>
      <c r="K293" s="251" t="str">
        <f>IF('Sortering af spørgsmål'!$C$32=Projektforudsætninger!$C$22,"","-")</f>
        <v>-</v>
      </c>
      <c r="L293" s="251" t="str">
        <f>IF('Sortering af spørgsmål'!$C$32=Projektforudsætninger!$C$23,"","-")</f>
        <v>-</v>
      </c>
      <c r="M293" s="251" t="str">
        <f>IF('Sortering af spørgsmål'!$C$32=Projektforudsætninger!$C$24,"","-")</f>
        <v>-</v>
      </c>
      <c r="N293" s="251" t="str">
        <f>IF('Sortering af spørgsmål'!$C$32=Projektforudsætninger!$C$25,"","-")</f>
        <v>-</v>
      </c>
      <c r="O293" s="251" t="str">
        <f>IF('Sortering af spørgsmål'!$C$32=Projektforudsætninger!$C$26,"","-")</f>
        <v>-</v>
      </c>
      <c r="P293" s="251" t="str">
        <f>IF('Sortering af spørgsmål'!$C$32=Projektforudsætninger!$C$19,"","-")</f>
        <v>-</v>
      </c>
      <c r="Q293" s="259"/>
    </row>
    <row r="294" spans="1:17" s="222" customFormat="1" ht="15" customHeight="1" x14ac:dyDescent="0.45">
      <c r="A294" s="786"/>
      <c r="B294" s="781"/>
      <c r="C294" s="779" t="str">
        <f>Arbejdsark!C553</f>
        <v>Lydforhold/akustik i bygningen</v>
      </c>
      <c r="D294" s="282">
        <f>Arbejdsark!O554</f>
        <v>1</v>
      </c>
      <c r="E294" s="282">
        <f>D294-D294</f>
        <v>0</v>
      </c>
      <c r="F294" s="282" t="str">
        <f>IF(Projektforudsætninger!B14="Ja",Arbejdsark!U554,"-")</f>
        <v>-</v>
      </c>
      <c r="G294" s="282" t="str">
        <f>IF(Projektforudsætninger!$B$14="Ja",F294-F294,"-")</f>
        <v>-</v>
      </c>
      <c r="H294" s="237" t="s">
        <v>498</v>
      </c>
      <c r="I294" s="249" t="str">
        <f>IF('Sortering af spørgsmål'!$C$32=Projektforudsætninger!$C$20,"","-")</f>
        <v>-</v>
      </c>
      <c r="J294" s="249" t="str">
        <f>IF('Sortering af spørgsmål'!$C$32=Projektforudsætninger!$C$21,"","-")</f>
        <v>-</v>
      </c>
      <c r="K294" s="249" t="str">
        <f>IF('Sortering af spørgsmål'!$C$32=Projektforudsætninger!$C$22,"","-")</f>
        <v>-</v>
      </c>
      <c r="L294" s="249" t="str">
        <f>IF('Sortering af spørgsmål'!$C$32=Projektforudsætninger!$C$23,"","-")</f>
        <v>-</v>
      </c>
      <c r="M294" s="249" t="str">
        <f>IF('Sortering af spørgsmål'!$C$32=Projektforudsætninger!$C$24,"","-")</f>
        <v>-</v>
      </c>
      <c r="N294" s="249" t="str">
        <f>IF('Sortering af spørgsmål'!$C$32=Projektforudsætninger!$C$25,"","-")</f>
        <v>-</v>
      </c>
      <c r="O294" s="249" t="str">
        <f>IF('Sortering af spørgsmål'!$C$32=Projektforudsætninger!$C$26,"","-")</f>
        <v>-</v>
      </c>
      <c r="P294" s="249" t="str">
        <f>IF('Sortering af spørgsmål'!$C$32=Projektforudsætninger!$C$19,"","-")</f>
        <v>-</v>
      </c>
      <c r="Q294" s="258"/>
    </row>
    <row r="295" spans="1:17" ht="15" customHeight="1" x14ac:dyDescent="0.45">
      <c r="A295" s="786"/>
      <c r="B295" s="781"/>
      <c r="C295" s="779"/>
      <c r="D295" s="283">
        <f>Arbejdsark!O555</f>
        <v>1</v>
      </c>
      <c r="E295" s="283">
        <v>0</v>
      </c>
      <c r="F295" s="283" t="str">
        <f>IF(Projektforudsætninger!B14="Ja",Arbejdsark!U555,"-")</f>
        <v>-</v>
      </c>
      <c r="G295" s="283" t="str">
        <f>IF(Projektforudsætninger!$B$14="Ja",F294-F295,"-")</f>
        <v>-</v>
      </c>
      <c r="H295" s="239" t="s">
        <v>499</v>
      </c>
      <c r="I295" s="250" t="str">
        <f>IF('Sortering af spørgsmål'!$C$32=Projektforudsætninger!$C$20,"","-")</f>
        <v>-</v>
      </c>
      <c r="J295" s="250" t="str">
        <f>IF('Sortering af spørgsmål'!$C$32=Projektforudsætninger!$C$21,"","-")</f>
        <v>-</v>
      </c>
      <c r="K295" s="250" t="str">
        <f>IF('Sortering af spørgsmål'!$C$32=Projektforudsætninger!$C$22,"","-")</f>
        <v>-</v>
      </c>
      <c r="L295" s="250" t="str">
        <f>IF('Sortering af spørgsmål'!$C$32=Projektforudsætninger!$C$23,"","-")</f>
        <v>-</v>
      </c>
      <c r="M295" s="250" t="str">
        <f>IF('Sortering af spørgsmål'!$C$32=Projektforudsætninger!$C$24,"","-")</f>
        <v>-</v>
      </c>
      <c r="N295" s="250" t="str">
        <f>IF('Sortering af spørgsmål'!$C$32=Projektforudsætninger!$C$25,"","-")</f>
        <v>-</v>
      </c>
      <c r="O295" s="250" t="str">
        <f>IF('Sortering af spørgsmål'!$C$32=Projektforudsætninger!$C$26,"","-")</f>
        <v>-</v>
      </c>
      <c r="P295" s="250" t="str">
        <f>IF('Sortering af spørgsmål'!$C$32=Projektforudsætninger!$C$19,"","-")</f>
        <v>-</v>
      </c>
      <c r="Q295" s="259"/>
    </row>
    <row r="296" spans="1:17" ht="15" customHeight="1" x14ac:dyDescent="0.45">
      <c r="A296" s="786"/>
      <c r="B296" s="781"/>
      <c r="C296" s="779"/>
      <c r="D296" s="284">
        <f>Arbejdsark!O556</f>
        <v>0</v>
      </c>
      <c r="E296" s="284">
        <f>D294-D296</f>
        <v>1</v>
      </c>
      <c r="F296" s="284" t="str">
        <f>IF(Projektforudsætninger!B14="Ja",Arbejdsark!U556,"-")</f>
        <v>-</v>
      </c>
      <c r="G296" s="284" t="str">
        <f>IF(Projektforudsætninger!$B$14="Ja",F294-F296,"-")</f>
        <v>-</v>
      </c>
      <c r="H296" s="241" t="s">
        <v>495</v>
      </c>
      <c r="I296" s="251" t="str">
        <f>IF('Sortering af spørgsmål'!$C$32=Projektforudsætninger!$C$20,"","-")</f>
        <v>-</v>
      </c>
      <c r="J296" s="251" t="str">
        <f>IF('Sortering af spørgsmål'!$C$32=Projektforudsætninger!$C$21,"","-")</f>
        <v>-</v>
      </c>
      <c r="K296" s="251" t="str">
        <f>IF('Sortering af spørgsmål'!$C$32=Projektforudsætninger!$C$22,"","-")</f>
        <v>-</v>
      </c>
      <c r="L296" s="251" t="str">
        <f>IF('Sortering af spørgsmål'!$C$32=Projektforudsætninger!$C$23,"","-")</f>
        <v>-</v>
      </c>
      <c r="M296" s="251" t="str">
        <f>IF('Sortering af spørgsmål'!$C$32=Projektforudsætninger!$C$24,"","-")</f>
        <v>-</v>
      </c>
      <c r="N296" s="251" t="str">
        <f>IF('Sortering af spørgsmål'!$C$32=Projektforudsætninger!$C$25,"","-")</f>
        <v>-</v>
      </c>
      <c r="O296" s="251" t="str">
        <f>IF('Sortering af spørgsmål'!$C$32=Projektforudsætninger!$C$26,"","-")</f>
        <v>-</v>
      </c>
      <c r="P296" s="251" t="str">
        <f>IF('Sortering af spørgsmål'!$C$32=Projektforudsætninger!$C$19,"","-")</f>
        <v>-</v>
      </c>
      <c r="Q296" s="259"/>
    </row>
    <row r="297" spans="1:17" s="222" customFormat="1" ht="15" customHeight="1" x14ac:dyDescent="0.45">
      <c r="A297" s="786"/>
      <c r="B297" s="781"/>
      <c r="C297" s="779" t="str">
        <f>Arbejdsark!C558</f>
        <v>Fugt</v>
      </c>
      <c r="D297" s="282">
        <f>Arbejdsark!O559</f>
        <v>1</v>
      </c>
      <c r="E297" s="282">
        <f>D297-D297</f>
        <v>0</v>
      </c>
      <c r="F297" s="282" t="str">
        <f>IF(Projektforudsætninger!B14="Ja",Arbejdsark!U559,"-")</f>
        <v>-</v>
      </c>
      <c r="G297" s="282" t="str">
        <f>IF(Projektforudsætninger!$B$14="Ja",F297-F297,"-")</f>
        <v>-</v>
      </c>
      <c r="H297" s="237" t="s">
        <v>498</v>
      </c>
      <c r="I297" s="249" t="str">
        <f>IF('Sortering af spørgsmål'!$C$32=Projektforudsætninger!$C$20,"","-")</f>
        <v>-</v>
      </c>
      <c r="J297" s="249" t="str">
        <f>IF('Sortering af spørgsmål'!$C$32=Projektforudsætninger!$C$21,"","-")</f>
        <v>-</v>
      </c>
      <c r="K297" s="249" t="str">
        <f>IF('Sortering af spørgsmål'!$C$32=Projektforudsætninger!$C$22,"","-")</f>
        <v>-</v>
      </c>
      <c r="L297" s="249" t="str">
        <f>IF('Sortering af spørgsmål'!$C$32=Projektforudsætninger!$C$23,"","-")</f>
        <v>-</v>
      </c>
      <c r="M297" s="249" t="str">
        <f>IF('Sortering af spørgsmål'!$C$32=Projektforudsætninger!$C$24,"","-")</f>
        <v>-</v>
      </c>
      <c r="N297" s="249" t="str">
        <f>IF('Sortering af spørgsmål'!$C$32=Projektforudsætninger!$C$25,"","-")</f>
        <v>-</v>
      </c>
      <c r="O297" s="249" t="str">
        <f>IF('Sortering af spørgsmål'!$C$32=Projektforudsætninger!$C$26,"","-")</f>
        <v>-</v>
      </c>
      <c r="P297" s="249" t="str">
        <f>IF('Sortering af spørgsmål'!$C$32=Projektforudsætninger!$C$19,"","-")</f>
        <v>-</v>
      </c>
      <c r="Q297" s="258"/>
    </row>
    <row r="298" spans="1:17" ht="15" customHeight="1" x14ac:dyDescent="0.45">
      <c r="A298" s="786"/>
      <c r="B298" s="781"/>
      <c r="C298" s="779"/>
      <c r="D298" s="283">
        <f>Arbejdsark!O560</f>
        <v>1</v>
      </c>
      <c r="E298" s="283">
        <f>D297-D298</f>
        <v>0</v>
      </c>
      <c r="F298" s="283" t="str">
        <f>IF(Projektforudsætninger!B14="Ja",Arbejdsark!U560,"-")</f>
        <v>-</v>
      </c>
      <c r="G298" s="283" t="str">
        <f>IF(Projektforudsætninger!$B$14="Ja",F297-F298,"-")</f>
        <v>-</v>
      </c>
      <c r="H298" s="239" t="s">
        <v>499</v>
      </c>
      <c r="I298" s="250" t="str">
        <f>IF('Sortering af spørgsmål'!$C$32=Projektforudsætninger!$C$20,"","-")</f>
        <v>-</v>
      </c>
      <c r="J298" s="250" t="str">
        <f>IF('Sortering af spørgsmål'!$C$32=Projektforudsætninger!$C$21,"","-")</f>
        <v>-</v>
      </c>
      <c r="K298" s="250" t="str">
        <f>IF('Sortering af spørgsmål'!$C$32=Projektforudsætninger!$C$22,"","-")</f>
        <v>-</v>
      </c>
      <c r="L298" s="250" t="str">
        <f>IF('Sortering af spørgsmål'!$C$32=Projektforudsætninger!$C$23,"","-")</f>
        <v>-</v>
      </c>
      <c r="M298" s="250" t="str">
        <f>IF('Sortering af spørgsmål'!$C$32=Projektforudsætninger!$C$24,"","-")</f>
        <v>-</v>
      </c>
      <c r="N298" s="250" t="str">
        <f>IF('Sortering af spørgsmål'!$C$32=Projektforudsætninger!$C$25,"","-")</f>
        <v>-</v>
      </c>
      <c r="O298" s="250" t="str">
        <f>IF('Sortering af spørgsmål'!$C$32=Projektforudsætninger!$C$26,"","-")</f>
        <v>-</v>
      </c>
      <c r="P298" s="250" t="str">
        <f>IF('Sortering af spørgsmål'!$C$32=Projektforudsætninger!$C$19,"","-")</f>
        <v>-</v>
      </c>
      <c r="Q298" s="259"/>
    </row>
    <row r="299" spans="1:17" ht="15" customHeight="1" x14ac:dyDescent="0.45">
      <c r="A299" s="786"/>
      <c r="B299" s="781"/>
      <c r="C299" s="779"/>
      <c r="D299" s="285">
        <f>Arbejdsark!O561</f>
        <v>0</v>
      </c>
      <c r="E299" s="285">
        <f>D297-D299</f>
        <v>1</v>
      </c>
      <c r="F299" s="285" t="str">
        <f>IF(Projektforudsætninger!B14="Ja",Arbejdsark!U561,"-")</f>
        <v>-</v>
      </c>
      <c r="G299" s="284" t="str">
        <f>IF(Projektforudsætninger!$B$14="Ja",F297-F299,"-")</f>
        <v>-</v>
      </c>
      <c r="H299" s="241" t="s">
        <v>495</v>
      </c>
      <c r="I299" s="251" t="str">
        <f>IF('Sortering af spørgsmål'!$C$32=Projektforudsætninger!$C$20,"","-")</f>
        <v>-</v>
      </c>
      <c r="J299" s="251" t="str">
        <f>IF('Sortering af spørgsmål'!$C$32=Projektforudsætninger!$C$21,"","-")</f>
        <v>-</v>
      </c>
      <c r="K299" s="251" t="str">
        <f>IF('Sortering af spørgsmål'!$C$32=Projektforudsætninger!$C$22,"","-")</f>
        <v>-</v>
      </c>
      <c r="L299" s="251" t="str">
        <f>IF('Sortering af spørgsmål'!$C$32=Projektforudsætninger!$C$23,"","-")</f>
        <v>-</v>
      </c>
      <c r="M299" s="251" t="str">
        <f>IF('Sortering af spørgsmål'!$C$32=Projektforudsætninger!$C$24,"","-")</f>
        <v>-</v>
      </c>
      <c r="N299" s="251" t="str">
        <f>IF('Sortering af spørgsmål'!$C$32=Projektforudsætninger!$C$25,"","-")</f>
        <v>-</v>
      </c>
      <c r="O299" s="251" t="str">
        <f>IF('Sortering af spørgsmål'!$C$32=Projektforudsætninger!$C$26,"","-")</f>
        <v>-</v>
      </c>
      <c r="P299" s="251" t="str">
        <f>IF('Sortering af spørgsmål'!$C$32=Projektforudsætninger!$C$19,"","-")</f>
        <v>-</v>
      </c>
      <c r="Q299" s="259"/>
    </row>
    <row r="300" spans="1:17" s="222" customFormat="1" ht="15" customHeight="1" x14ac:dyDescent="0.45">
      <c r="A300" s="786"/>
      <c r="B300" s="781"/>
      <c r="C300" s="779" t="str">
        <f>Arbejdsark!C563</f>
        <v>Eftervisning af klimaskærmens kvalitet</v>
      </c>
      <c r="D300" s="282">
        <f>Arbejdsark!O564</f>
        <v>1</v>
      </c>
      <c r="E300" s="282">
        <f>D300-D300</f>
        <v>0</v>
      </c>
      <c r="F300" s="282" t="str">
        <f>IF(Projektforudsætninger!B14="Ja",Arbejdsark!U564,"-")</f>
        <v>-</v>
      </c>
      <c r="G300" s="282" t="str">
        <f>IF(Projektforudsætninger!$B$14="Ja",F300-F300,"-")</f>
        <v>-</v>
      </c>
      <c r="H300" s="237" t="s">
        <v>498</v>
      </c>
      <c r="I300" s="249" t="str">
        <f>IF('Sortering af spørgsmål'!$C$32=Projektforudsætninger!$C$20,"","-")</f>
        <v>-</v>
      </c>
      <c r="J300" s="249" t="str">
        <f>IF('Sortering af spørgsmål'!$C$32=Projektforudsætninger!$C$21,"","-")</f>
        <v>-</v>
      </c>
      <c r="K300" s="249" t="str">
        <f>IF('Sortering af spørgsmål'!$C$32=Projektforudsætninger!$C$22,"","-")</f>
        <v>-</v>
      </c>
      <c r="L300" s="249" t="str">
        <f>IF('Sortering af spørgsmål'!$C$32=Projektforudsætninger!$C$23,"","-")</f>
        <v>-</v>
      </c>
      <c r="M300" s="249" t="str">
        <f>IF('Sortering af spørgsmål'!$C$32=Projektforudsætninger!$C$24,"","-")</f>
        <v>-</v>
      </c>
      <c r="N300" s="249" t="str">
        <f>IF('Sortering af spørgsmål'!$C$32=Projektforudsætninger!$C$25,"","-")</f>
        <v>-</v>
      </c>
      <c r="O300" s="249" t="str">
        <f>IF('Sortering af spørgsmål'!$C$32=Projektforudsætninger!$C$26,"","-")</f>
        <v>-</v>
      </c>
      <c r="P300" s="249" t="str">
        <f>IF('Sortering af spørgsmål'!$C$32=Projektforudsætninger!$C$19,"","-")</f>
        <v>-</v>
      </c>
      <c r="Q300" s="258"/>
    </row>
    <row r="301" spans="1:17" ht="15" customHeight="1" x14ac:dyDescent="0.45">
      <c r="A301" s="786"/>
      <c r="B301" s="781"/>
      <c r="C301" s="779"/>
      <c r="D301" s="283">
        <f>Arbejdsark!O565</f>
        <v>0</v>
      </c>
      <c r="E301" s="283">
        <f>D300-D301</f>
        <v>1</v>
      </c>
      <c r="F301" s="283" t="str">
        <f>IF(Projektforudsætninger!B14="Ja",Arbejdsark!U565,"-")</f>
        <v>-</v>
      </c>
      <c r="G301" s="283" t="str">
        <f>IF(Projektforudsætninger!$B$14="Ja",F300-F301,"-")</f>
        <v>-</v>
      </c>
      <c r="H301" s="239" t="s">
        <v>499</v>
      </c>
      <c r="I301" s="250" t="str">
        <f>IF('Sortering af spørgsmål'!$C$32=Projektforudsætninger!$C$20,"","-")</f>
        <v>-</v>
      </c>
      <c r="J301" s="250" t="str">
        <f>IF('Sortering af spørgsmål'!$C$32=Projektforudsætninger!$C$21,"","-")</f>
        <v>-</v>
      </c>
      <c r="K301" s="250" t="str">
        <f>IF('Sortering af spørgsmål'!$C$32=Projektforudsætninger!$C$22,"","-")</f>
        <v>-</v>
      </c>
      <c r="L301" s="250" t="str">
        <f>IF('Sortering af spørgsmål'!$C$32=Projektforudsætninger!$C$23,"","-")</f>
        <v>-</v>
      </c>
      <c r="M301" s="250" t="str">
        <f>IF('Sortering af spørgsmål'!$C$32=Projektforudsætninger!$C$24,"","-")</f>
        <v>-</v>
      </c>
      <c r="N301" s="250" t="str">
        <f>IF('Sortering af spørgsmål'!$C$32=Projektforudsætninger!$C$25,"","-")</f>
        <v>-</v>
      </c>
      <c r="O301" s="250" t="str">
        <f>IF('Sortering af spørgsmål'!$C$32=Projektforudsætninger!$C$26,"","-")</f>
        <v>-</v>
      </c>
      <c r="P301" s="250" t="str">
        <f>IF('Sortering af spørgsmål'!$C$32=Projektforudsætninger!$C$19,"","-")</f>
        <v>-</v>
      </c>
      <c r="Q301" s="259"/>
    </row>
    <row r="302" spans="1:17" ht="15" customHeight="1" x14ac:dyDescent="0.45">
      <c r="A302" s="786"/>
      <c r="B302" s="781"/>
      <c r="C302" s="779"/>
      <c r="D302" s="285">
        <f>Arbejdsark!O566</f>
        <v>0</v>
      </c>
      <c r="E302" s="284">
        <f>D300-D302</f>
        <v>1</v>
      </c>
      <c r="F302" s="285" t="str">
        <f>IF(Projektforudsætninger!B14="Ja",Arbejdsark!U566,"-")</f>
        <v>-</v>
      </c>
      <c r="G302" s="284" t="str">
        <f>IF(Projektforudsætninger!$B$14="Ja",F300-F302,"-")</f>
        <v>-</v>
      </c>
      <c r="H302" s="241" t="s">
        <v>495</v>
      </c>
      <c r="I302" s="251" t="str">
        <f>IF('Sortering af spørgsmål'!$C$32=Projektforudsætninger!$C$20,"","-")</f>
        <v>-</v>
      </c>
      <c r="J302" s="251" t="str">
        <f>IF('Sortering af spørgsmål'!$C$32=Projektforudsætninger!$C$21,"","-")</f>
        <v>-</v>
      </c>
      <c r="K302" s="251" t="str">
        <f>IF('Sortering af spørgsmål'!$C$32=Projektforudsætninger!$C$22,"","-")</f>
        <v>-</v>
      </c>
      <c r="L302" s="251" t="str">
        <f>IF('Sortering af spørgsmål'!$C$32=Projektforudsætninger!$C$23,"","-")</f>
        <v>-</v>
      </c>
      <c r="M302" s="251" t="str">
        <f>IF('Sortering af spørgsmål'!$C$32=Projektforudsætninger!$C$24,"","-")</f>
        <v>-</v>
      </c>
      <c r="N302" s="251" t="str">
        <f>IF('Sortering af spørgsmål'!$C$32=Projektforudsætninger!$C$25,"","-")</f>
        <v>-</v>
      </c>
      <c r="O302" s="251" t="str">
        <f>IF('Sortering af spørgsmål'!$C$32=Projektforudsætninger!$C$26,"","-")</f>
        <v>-</v>
      </c>
      <c r="P302" s="251" t="str">
        <f>IF('Sortering af spørgsmål'!$C$32=Projektforudsætninger!$C$19,"","-")</f>
        <v>-</v>
      </c>
      <c r="Q302" s="259"/>
    </row>
    <row r="303" spans="1:17" s="222" customFormat="1" ht="15" customHeight="1" x14ac:dyDescent="0.45">
      <c r="A303" s="786"/>
      <c r="B303" s="781"/>
      <c r="C303" s="779" t="str">
        <f>Arbejdsark!C572</f>
        <v>Radonmåling</v>
      </c>
      <c r="D303" s="282">
        <f>Arbejdsark!O573</f>
        <v>1</v>
      </c>
      <c r="E303" s="282">
        <f>Arbejdsark!P573</f>
        <v>0</v>
      </c>
      <c r="F303" s="282" t="str">
        <f>IF(Projektforudsætninger!B17="Ja",Arbejdsark!U567,"-")</f>
        <v>-</v>
      </c>
      <c r="G303" s="282" t="str">
        <f>IF(Projektforudsætninger!$B$14="Ja",F303-F303,"-")</f>
        <v>-</v>
      </c>
      <c r="H303" s="237" t="s">
        <v>498</v>
      </c>
      <c r="I303" s="249" t="str">
        <f>IF('Sortering af spørgsmål'!$C$32=Projektforudsætninger!$C$20,"","-")</f>
        <v>-</v>
      </c>
      <c r="J303" s="249" t="str">
        <f>IF('Sortering af spørgsmål'!$C$32=Projektforudsætninger!$C$21,"","-")</f>
        <v>-</v>
      </c>
      <c r="K303" s="249" t="str">
        <f>IF('Sortering af spørgsmål'!$C$32=Projektforudsætninger!$C$22,"","-")</f>
        <v>-</v>
      </c>
      <c r="L303" s="249" t="str">
        <f>IF('Sortering af spørgsmål'!$C$32=Projektforudsætninger!$C$23,"","-")</f>
        <v>-</v>
      </c>
      <c r="M303" s="249" t="str">
        <f>IF('Sortering af spørgsmål'!$C$32=Projektforudsætninger!$C$24,"","-")</f>
        <v>-</v>
      </c>
      <c r="N303" s="249" t="str">
        <f>IF('Sortering af spørgsmål'!$C$32=Projektforudsætninger!$C$25,"","-")</f>
        <v>-</v>
      </c>
      <c r="O303" s="249" t="str">
        <f>IF('Sortering af spørgsmål'!$C$32=Projektforudsætninger!$C$26,"","-")</f>
        <v>-</v>
      </c>
      <c r="P303" s="249" t="str">
        <f>IF('Sortering af spørgsmål'!$C$32=Projektforudsætninger!$C$19,"","-")</f>
        <v>-</v>
      </c>
    </row>
    <row r="304" spans="1:17" ht="15" customHeight="1" x14ac:dyDescent="0.45">
      <c r="A304" s="786"/>
      <c r="B304" s="781"/>
      <c r="C304" s="779"/>
      <c r="D304" s="283">
        <f>Arbejdsark!O574</f>
        <v>1</v>
      </c>
      <c r="E304" s="283">
        <f>Arbejdsark!P574</f>
        <v>0</v>
      </c>
      <c r="F304" s="283" t="str">
        <f>IF(Projektforudsætninger!B17="Ja",Arbejdsark!U568,"-")</f>
        <v>-</v>
      </c>
      <c r="G304" s="283" t="str">
        <f>IF(Projektforudsætninger!$B$14="Ja",F303-F304,"-")</f>
        <v>-</v>
      </c>
      <c r="H304" s="239" t="s">
        <v>499</v>
      </c>
      <c r="I304" s="250" t="str">
        <f>IF('Sortering af spørgsmål'!$C$32=Projektforudsætninger!$C$20,"","-")</f>
        <v>-</v>
      </c>
      <c r="J304" s="250" t="str">
        <f>IF('Sortering af spørgsmål'!$C$32=Projektforudsætninger!$C$21,"","-")</f>
        <v>-</v>
      </c>
      <c r="K304" s="250" t="str">
        <f>IF('Sortering af spørgsmål'!$C$32=Projektforudsætninger!$C$22,"","-")</f>
        <v>-</v>
      </c>
      <c r="L304" s="250" t="str">
        <f>IF('Sortering af spørgsmål'!$C$32=Projektforudsætninger!$C$23,"","-")</f>
        <v>-</v>
      </c>
      <c r="M304" s="250" t="str">
        <f>IF('Sortering af spørgsmål'!$C$32=Projektforudsætninger!$C$24,"","-")</f>
        <v>-</v>
      </c>
      <c r="N304" s="250" t="str">
        <f>IF('Sortering af spørgsmål'!$C$32=Projektforudsætninger!$C$25,"","-")</f>
        <v>-</v>
      </c>
      <c r="O304" s="250" t="str">
        <f>IF('Sortering af spørgsmål'!$C$32=Projektforudsætninger!$C$26,"","-")</f>
        <v>-</v>
      </c>
      <c r="P304" s="250" t="str">
        <f>IF('Sortering af spørgsmål'!$C$32=Projektforudsætninger!$C$19,"","-")</f>
        <v>-</v>
      </c>
      <c r="Q304" s="30"/>
    </row>
    <row r="305" spans="1:17" ht="15" customHeight="1" x14ac:dyDescent="0.45">
      <c r="A305" s="786"/>
      <c r="B305" s="782"/>
      <c r="C305" s="779"/>
      <c r="D305" s="285">
        <f>Arbejdsark!O575</f>
        <v>0</v>
      </c>
      <c r="E305" s="285">
        <f>Arbejdsark!P575</f>
        <v>1</v>
      </c>
      <c r="F305" s="285" t="str">
        <f>IF(Projektforudsætninger!B17="Ja",Arbejdsark!U569,"-")</f>
        <v>-</v>
      </c>
      <c r="G305" s="284" t="str">
        <f>IF(Projektforudsætninger!$B$14="Ja",F303-F305,"-")</f>
        <v>-</v>
      </c>
      <c r="H305" s="241" t="s">
        <v>495</v>
      </c>
      <c r="I305" s="251" t="str">
        <f>IF('Sortering af spørgsmål'!$C$32=Projektforudsætninger!$C$20,"","-")</f>
        <v>-</v>
      </c>
      <c r="J305" s="251" t="str">
        <f>IF('Sortering af spørgsmål'!$C$32=Projektforudsætninger!$C$21,"","-")</f>
        <v>-</v>
      </c>
      <c r="K305" s="251" t="str">
        <f>IF('Sortering af spørgsmål'!$C$32=Projektforudsætninger!$C$22,"","-")</f>
        <v>-</v>
      </c>
      <c r="L305" s="251" t="str">
        <f>IF('Sortering af spørgsmål'!$C$32=Projektforudsætninger!$C$23,"","-")</f>
        <v>-</v>
      </c>
      <c r="M305" s="251" t="str">
        <f>IF('Sortering af spørgsmål'!$C$32=Projektforudsætninger!$C$24,"","-")</f>
        <v>-</v>
      </c>
      <c r="N305" s="251" t="str">
        <f>IF('Sortering af spørgsmål'!$C$32=Projektforudsætninger!$C$25,"","-")</f>
        <v>-</v>
      </c>
      <c r="O305" s="251" t="str">
        <f>IF('Sortering af spørgsmål'!$C$32=Projektforudsætninger!$C$26,"","-")</f>
        <v>-</v>
      </c>
      <c r="P305" s="251" t="str">
        <f>IF('Sortering af spørgsmål'!$C$32=Projektforudsætninger!$C$19,"","-")</f>
        <v>-</v>
      </c>
      <c r="Q305" s="30"/>
    </row>
    <row r="306" spans="1:17" s="222" customFormat="1" x14ac:dyDescent="0.65">
      <c r="A306" s="225"/>
      <c r="B306" s="224"/>
      <c r="C306" s="224"/>
      <c r="D306" s="280"/>
      <c r="E306" s="224"/>
      <c r="F306" s="224"/>
      <c r="G306" s="224"/>
      <c r="H306" s="224"/>
      <c r="I306" s="228"/>
      <c r="J306" s="228"/>
      <c r="K306" s="228"/>
      <c r="L306" s="228"/>
      <c r="M306" s="228"/>
      <c r="N306" s="228"/>
      <c r="O306" s="228"/>
      <c r="P306" s="228"/>
      <c r="Q306" s="234"/>
    </row>
  </sheetData>
  <sheetProtection sheet="1" selectLockedCells="1"/>
  <protectedRanges>
    <protectedRange sqref="R43:R44" name="Område1"/>
  </protectedRanges>
  <mergeCells count="136">
    <mergeCell ref="B195:B200"/>
    <mergeCell ref="C198:C200"/>
    <mergeCell ref="D1:E1"/>
    <mergeCell ref="F1:G1"/>
    <mergeCell ref="B30:B38"/>
    <mergeCell ref="B39:B41"/>
    <mergeCell ref="B42:B47"/>
    <mergeCell ref="A3:A47"/>
    <mergeCell ref="C30:C32"/>
    <mergeCell ref="C33:C35"/>
    <mergeCell ref="C36:C38"/>
    <mergeCell ref="C39:C41"/>
    <mergeCell ref="C42:C44"/>
    <mergeCell ref="C45:C47"/>
    <mergeCell ref="C15:C17"/>
    <mergeCell ref="C18:C20"/>
    <mergeCell ref="C21:C23"/>
    <mergeCell ref="B15:B20"/>
    <mergeCell ref="B21:B29"/>
    <mergeCell ref="C3:C5"/>
    <mergeCell ref="C6:C8"/>
    <mergeCell ref="C9:C11"/>
    <mergeCell ref="C12:C14"/>
    <mergeCell ref="B3:B14"/>
    <mergeCell ref="A48:A83"/>
    <mergeCell ref="A84:A194"/>
    <mergeCell ref="B48:B53"/>
    <mergeCell ref="C48:C50"/>
    <mergeCell ref="C51:C53"/>
    <mergeCell ref="B54:B77"/>
    <mergeCell ref="C54:C56"/>
    <mergeCell ref="C57:C59"/>
    <mergeCell ref="C60:C62"/>
    <mergeCell ref="C63:C65"/>
    <mergeCell ref="C66:C68"/>
    <mergeCell ref="C69:C71"/>
    <mergeCell ref="C72:C74"/>
    <mergeCell ref="C75:C77"/>
    <mergeCell ref="B78:B83"/>
    <mergeCell ref="C78:C80"/>
    <mergeCell ref="C81:C83"/>
    <mergeCell ref="B84:B110"/>
    <mergeCell ref="C84:C86"/>
    <mergeCell ref="C87:C89"/>
    <mergeCell ref="C90:C92"/>
    <mergeCell ref="C93:C95"/>
    <mergeCell ref="B120:B125"/>
    <mergeCell ref="C120:C122"/>
    <mergeCell ref="B111:B119"/>
    <mergeCell ref="C111:C113"/>
    <mergeCell ref="C114:C116"/>
    <mergeCell ref="C117:C119"/>
    <mergeCell ref="C24:C26"/>
    <mergeCell ref="C27:C29"/>
    <mergeCell ref="C153:C155"/>
    <mergeCell ref="C156:C158"/>
    <mergeCell ref="B126:B131"/>
    <mergeCell ref="B132:B140"/>
    <mergeCell ref="B141:B146"/>
    <mergeCell ref="B147:B152"/>
    <mergeCell ref="C159:C161"/>
    <mergeCell ref="C162:C164"/>
    <mergeCell ref="C165:C167"/>
    <mergeCell ref="C168:C170"/>
    <mergeCell ref="C96:C98"/>
    <mergeCell ref="C99:C101"/>
    <mergeCell ref="C102:C104"/>
    <mergeCell ref="C105:C107"/>
    <mergeCell ref="C108:C110"/>
    <mergeCell ref="C126:C128"/>
    <mergeCell ref="C129:C131"/>
    <mergeCell ref="C132:C134"/>
    <mergeCell ref="C135:C137"/>
    <mergeCell ref="C138:C140"/>
    <mergeCell ref="C141:C143"/>
    <mergeCell ref="C144:C146"/>
    <mergeCell ref="C147:C149"/>
    <mergeCell ref="C150:C152"/>
    <mergeCell ref="C123:C125"/>
    <mergeCell ref="C201:C203"/>
    <mergeCell ref="C204:C206"/>
    <mergeCell ref="C207:C209"/>
    <mergeCell ref="C210:C212"/>
    <mergeCell ref="C180:C182"/>
    <mergeCell ref="C183:C185"/>
    <mergeCell ref="C186:C188"/>
    <mergeCell ref="C189:C191"/>
    <mergeCell ref="C192:C194"/>
    <mergeCell ref="B264:B272"/>
    <mergeCell ref="C258:C260"/>
    <mergeCell ref="C261:C263"/>
    <mergeCell ref="C264:C266"/>
    <mergeCell ref="C171:C173"/>
    <mergeCell ref="C174:C176"/>
    <mergeCell ref="C177:C179"/>
    <mergeCell ref="B153:B194"/>
    <mergeCell ref="B240:B242"/>
    <mergeCell ref="B243:B257"/>
    <mergeCell ref="C240:C242"/>
    <mergeCell ref="C243:C245"/>
    <mergeCell ref="C246:C248"/>
    <mergeCell ref="C249:C251"/>
    <mergeCell ref="C252:C254"/>
    <mergeCell ref="C255:C257"/>
    <mergeCell ref="B219:B236"/>
    <mergeCell ref="C219:C221"/>
    <mergeCell ref="C222:C224"/>
    <mergeCell ref="C225:C227"/>
    <mergeCell ref="C228:C230"/>
    <mergeCell ref="C231:C233"/>
    <mergeCell ref="C234:C236"/>
    <mergeCell ref="B201:B218"/>
    <mergeCell ref="C303:C305"/>
    <mergeCell ref="B291:B305"/>
    <mergeCell ref="C267:C269"/>
    <mergeCell ref="C270:C272"/>
    <mergeCell ref="A195:A239"/>
    <mergeCell ref="C213:C215"/>
    <mergeCell ref="C216:C218"/>
    <mergeCell ref="C195:C197"/>
    <mergeCell ref="A240:A305"/>
    <mergeCell ref="B237:B239"/>
    <mergeCell ref="C237:C239"/>
    <mergeCell ref="B273:B290"/>
    <mergeCell ref="C273:C275"/>
    <mergeCell ref="C276:C278"/>
    <mergeCell ref="C279:C281"/>
    <mergeCell ref="C282:C284"/>
    <mergeCell ref="C285:C287"/>
    <mergeCell ref="C288:C290"/>
    <mergeCell ref="C291:C293"/>
    <mergeCell ref="C294:C296"/>
    <mergeCell ref="C297:C299"/>
    <mergeCell ref="C300:C302"/>
    <mergeCell ref="B258:B260"/>
    <mergeCell ref="B261:B263"/>
  </mergeCells>
  <conditionalFormatting sqref="I3">
    <cfRule type="cellIs" dxfId="138" priority="8" operator="equal">
      <formula>"""-"""</formula>
    </cfRule>
  </conditionalFormatting>
  <pageMargins left="0.23622047244094491" right="0.23622047244094491" top="0.74803149606299213" bottom="0.74803149606299213" header="0.31496062992125984" footer="0.31496062992125984"/>
  <pageSetup paperSize="8" scale="66" fitToHeight="0" orientation="landscape" r:id="rId1"/>
  <headerFooter>
    <oddHeader xml:space="preserve">&amp;C&amp;10
</oddHeader>
  </headerFooter>
  <rowBreaks count="8" manualBreakCount="8">
    <brk id="41" max="16" man="1"/>
    <brk id="83" max="16" man="1"/>
    <brk id="119" max="16" man="1"/>
    <brk id="152" max="16" man="1"/>
    <brk id="194" max="16" man="1"/>
    <brk id="236" max="16" man="1"/>
    <brk id="272" max="16" man="1"/>
    <brk id="290" max="16" man="1"/>
  </rowBreaks>
  <extLst>
    <ext xmlns:x14="http://schemas.microsoft.com/office/spreadsheetml/2009/9/main" uri="{78C0D931-6437-407d-A8EE-F0AAD7539E65}">
      <x14:conditionalFormattings>
        <x14:conditionalFormatting xmlns:xm="http://schemas.microsoft.com/office/excel/2006/main">
          <x14:cfRule type="containsText" priority="7" operator="containsText" id="{A0B93BD7-F5FE-4CAA-A27F-21C2FBF5FF8C}">
            <xm:f>NOT(ISERROR(SEARCH("-",H3)))</xm:f>
            <xm:f>"-"</xm:f>
            <x14:dxf>
              <fill>
                <patternFill>
                  <bgColor theme="0" tint="-0.499984740745262"/>
                </patternFill>
              </fill>
            </x14:dxf>
          </x14:cfRule>
          <xm:sqref>H3:Q197 H201:Q302 Q198:Q200</xm:sqref>
        </x14:conditionalFormatting>
        <x14:conditionalFormatting xmlns:xm="http://schemas.microsoft.com/office/excel/2006/main">
          <x14:cfRule type="containsText" priority="5" operator="containsText" id="{CE14C873-FDF3-4E38-BE64-4FB28702D2A5}">
            <xm:f>NOT(ISERROR(SEARCH("-",F2)))</xm:f>
            <xm:f>"-"</xm:f>
            <x14:dxf>
              <fill>
                <patternFill>
                  <bgColor theme="0" tint="-0.34998626667073579"/>
                </patternFill>
              </fill>
            </x14:dxf>
          </x14:cfRule>
          <xm:sqref>F2:G197 F201:G302</xm:sqref>
        </x14:conditionalFormatting>
        <x14:conditionalFormatting xmlns:xm="http://schemas.microsoft.com/office/excel/2006/main">
          <x14:cfRule type="containsText" priority="4" operator="containsText" id="{753F0179-81DC-4217-8946-52EA33AFBB8D}">
            <xm:f>NOT(ISERROR(SEARCH("-",H198)))</xm:f>
            <xm:f>"-"</xm:f>
            <x14:dxf>
              <fill>
                <patternFill>
                  <bgColor theme="0" tint="-0.499984740745262"/>
                </patternFill>
              </fill>
            </x14:dxf>
          </x14:cfRule>
          <xm:sqref>H198:P200</xm:sqref>
        </x14:conditionalFormatting>
        <x14:conditionalFormatting xmlns:xm="http://schemas.microsoft.com/office/excel/2006/main">
          <x14:cfRule type="containsText" priority="3" operator="containsText" id="{C1846A2F-6B3E-4B1D-8446-9CDFCDB0292B}">
            <xm:f>NOT(ISERROR(SEARCH("-",F198)))</xm:f>
            <xm:f>"-"</xm:f>
            <x14:dxf>
              <fill>
                <patternFill>
                  <bgColor theme="0" tint="-0.34998626667073579"/>
                </patternFill>
              </fill>
            </x14:dxf>
          </x14:cfRule>
          <xm:sqref>F198:G200</xm:sqref>
        </x14:conditionalFormatting>
        <x14:conditionalFormatting xmlns:xm="http://schemas.microsoft.com/office/excel/2006/main">
          <x14:cfRule type="containsText" priority="2" operator="containsText" id="{67FB5F40-7E69-4896-AFCE-AB0FFBD6FEB2}">
            <xm:f>NOT(ISERROR(SEARCH("-",H303)))</xm:f>
            <xm:f>"-"</xm:f>
            <x14:dxf>
              <fill>
                <patternFill>
                  <bgColor theme="0" tint="-0.499984740745262"/>
                </patternFill>
              </fill>
            </x14:dxf>
          </x14:cfRule>
          <xm:sqref>H303:P305</xm:sqref>
        </x14:conditionalFormatting>
        <x14:conditionalFormatting xmlns:xm="http://schemas.microsoft.com/office/excel/2006/main">
          <x14:cfRule type="containsText" priority="1" operator="containsText" id="{CF6B4936-3F5E-47AE-BE03-B78379F7348E}">
            <xm:f>NOT(ISERROR(SEARCH("-",F303)))</xm:f>
            <xm:f>"-"</xm:f>
            <x14:dxf>
              <fill>
                <patternFill>
                  <bgColor theme="0" tint="-0.34998626667073579"/>
                </patternFill>
              </fill>
            </x14:dxf>
          </x14:cfRule>
          <xm:sqref>F303:G305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tabColor rgb="FF00B0F0"/>
    <pageSetUpPr fitToPage="1"/>
  </sheetPr>
  <dimension ref="A1:AH264"/>
  <sheetViews>
    <sheetView tabSelected="1" view="pageLayout" topLeftCell="A5" zoomScale="80" zoomScaleNormal="87" zoomScaleSheetLayoutView="100" zoomScalePageLayoutView="80" workbookViewId="0">
      <selection activeCell="K6" sqref="K6"/>
    </sheetView>
  </sheetViews>
  <sheetFormatPr defaultColWidth="8.73046875" defaultRowHeight="14.25" x14ac:dyDescent="0.45"/>
  <cols>
    <col min="1" max="1" width="24.73046875" style="30" customWidth="1"/>
    <col min="2" max="2" width="4.265625" style="30" customWidth="1"/>
    <col min="3" max="3" width="13.265625" style="30" customWidth="1"/>
    <col min="4" max="4" width="37.265625" style="30" hidden="1" customWidth="1"/>
    <col min="5" max="8" width="8.73046875" style="30" hidden="1" customWidth="1"/>
    <col min="9" max="9" width="32.73046875" style="30" customWidth="1"/>
    <col min="10" max="10" width="14" style="30" customWidth="1"/>
    <col min="11" max="11" width="27" style="30" customWidth="1"/>
    <col min="12" max="20" width="8.73046875" style="30" hidden="1" customWidth="1"/>
    <col min="21" max="21" width="7.3984375" style="30" hidden="1" customWidth="1"/>
    <col min="22" max="22" width="8.73046875" style="30" customWidth="1"/>
    <col min="23" max="28" width="8.73046875" style="30"/>
    <col min="29" max="29" width="15.265625" style="30" customWidth="1"/>
    <col min="30" max="30" width="12" style="30" hidden="1" customWidth="1"/>
    <col min="31" max="34" width="8.73046875" style="30" hidden="1" customWidth="1"/>
    <col min="35" max="35" width="8.73046875" style="30" customWidth="1"/>
    <col min="36" max="16384" width="8.73046875" style="30"/>
  </cols>
  <sheetData>
    <row r="1" spans="1:34" x14ac:dyDescent="0.45">
      <c r="A1" s="296" t="s">
        <v>177</v>
      </c>
      <c r="B1" s="795" t="str">
        <f>Projektforudsætninger!C20</f>
        <v>-1</v>
      </c>
      <c r="C1" s="795"/>
      <c r="D1" s="795"/>
      <c r="E1" s="795"/>
      <c r="F1" s="795"/>
      <c r="G1" s="795"/>
      <c r="H1" s="795"/>
      <c r="I1" s="19"/>
      <c r="J1" s="19"/>
      <c r="K1" s="19"/>
      <c r="L1" s="19"/>
      <c r="M1" s="19"/>
      <c r="N1" s="19"/>
      <c r="O1" s="19"/>
      <c r="P1" s="19"/>
      <c r="Q1" s="19"/>
      <c r="R1" s="19"/>
      <c r="S1" s="19"/>
      <c r="T1" s="19"/>
      <c r="U1" s="19"/>
    </row>
    <row r="2" spans="1:34" ht="23.65" customHeight="1" x14ac:dyDescent="0.45">
      <c r="A2" s="777" t="s">
        <v>178</v>
      </c>
      <c r="B2" s="777"/>
      <c r="C2" s="777"/>
      <c r="D2" s="777"/>
      <c r="E2" s="777"/>
      <c r="F2" s="777"/>
      <c r="G2" s="777"/>
      <c r="H2" s="777"/>
      <c r="I2" s="777"/>
      <c r="J2" s="777"/>
      <c r="K2" s="777"/>
      <c r="L2" s="19"/>
      <c r="M2" s="19"/>
      <c r="N2" s="19"/>
      <c r="O2" s="19"/>
      <c r="P2" s="19"/>
      <c r="Q2" s="19"/>
      <c r="R2" s="19"/>
      <c r="S2" s="19"/>
      <c r="T2" s="19"/>
      <c r="U2" s="19"/>
      <c r="AD2" s="30" t="s">
        <v>9</v>
      </c>
      <c r="AF2" s="30" t="s">
        <v>9</v>
      </c>
    </row>
    <row r="3" spans="1:34" ht="16.5" customHeight="1" x14ac:dyDescent="0.45">
      <c r="A3" s="53" t="str">
        <f>Arbejdsark!$A$2</f>
        <v>MILJØ KVALITET</v>
      </c>
      <c r="B3" s="263"/>
      <c r="C3" s="264"/>
      <c r="D3" s="264"/>
      <c r="E3" s="265"/>
      <c r="F3" s="265"/>
      <c r="G3" s="265"/>
      <c r="H3" s="265"/>
      <c r="I3" s="265"/>
      <c r="J3" s="265"/>
      <c r="K3" s="266"/>
      <c r="L3" s="19"/>
      <c r="M3" s="19"/>
      <c r="N3" s="19"/>
      <c r="O3" s="19"/>
      <c r="P3" s="19"/>
      <c r="Q3" s="19"/>
      <c r="R3" s="19"/>
      <c r="S3" s="19"/>
      <c r="T3" s="19"/>
      <c r="U3" s="19"/>
      <c r="AD3" s="294" t="s">
        <v>170</v>
      </c>
      <c r="AF3" s="31" t="s">
        <v>171</v>
      </c>
      <c r="AH3" s="30" t="s">
        <v>9</v>
      </c>
    </row>
    <row r="4" spans="1:34" s="33" customFormat="1" ht="20.25" customHeight="1" x14ac:dyDescent="0.45">
      <c r="A4" s="20" t="s">
        <v>118</v>
      </c>
      <c r="B4" s="20" t="s">
        <v>179</v>
      </c>
      <c r="C4" s="20" t="s">
        <v>167</v>
      </c>
      <c r="D4" s="21" t="s">
        <v>180</v>
      </c>
      <c r="E4" s="20" t="s">
        <v>181</v>
      </c>
      <c r="F4" s="20" t="s">
        <v>182</v>
      </c>
      <c r="G4" s="20" t="s">
        <v>183</v>
      </c>
      <c r="H4" s="20" t="s">
        <v>184</v>
      </c>
      <c r="I4" s="133" t="s">
        <v>61</v>
      </c>
      <c r="J4" s="20" t="s">
        <v>62</v>
      </c>
      <c r="K4" s="22" t="s">
        <v>185</v>
      </c>
      <c r="L4" s="32"/>
      <c r="M4" s="32"/>
      <c r="N4" s="32"/>
      <c r="O4" s="32"/>
      <c r="P4" s="32"/>
      <c r="Q4" s="32"/>
      <c r="R4" s="32"/>
      <c r="S4" s="32"/>
      <c r="T4" s="32"/>
      <c r="U4" s="32"/>
      <c r="AD4" s="294" t="s">
        <v>498</v>
      </c>
      <c r="AE4" s="30"/>
      <c r="AF4" s="31" t="s">
        <v>173</v>
      </c>
      <c r="AG4" s="30"/>
      <c r="AH4" s="294" t="s">
        <v>498</v>
      </c>
    </row>
    <row r="5" spans="1:34" ht="14.25" customHeight="1" x14ac:dyDescent="0.45">
      <c r="A5" s="50" t="str">
        <f>Arbejdsark!$A$4</f>
        <v>Materialer</v>
      </c>
      <c r="B5" s="50">
        <v>1</v>
      </c>
      <c r="C5" s="50"/>
      <c r="D5" s="50"/>
      <c r="E5" s="50"/>
      <c r="F5" s="50"/>
      <c r="G5" s="50"/>
      <c r="H5" s="50"/>
      <c r="I5" s="267" t="str">
        <f>IF('Sortering af spørgsmål'!$C$6=Projektforudsætninger!$C$20,"Udfyld spørgsmål","Ingen spørgsmål")</f>
        <v>Ingen spørgsmål</v>
      </c>
      <c r="J5" s="50"/>
      <c r="K5" s="53"/>
      <c r="L5" s="26">
        <f>Arbejdsark!L4</f>
        <v>0</v>
      </c>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D5" s="294" t="s">
        <v>499</v>
      </c>
      <c r="AF5" s="31" t="s">
        <v>12</v>
      </c>
      <c r="AH5" s="294" t="s">
        <v>499</v>
      </c>
    </row>
    <row r="6" spans="1:34" ht="159" customHeight="1" x14ac:dyDescent="0.45">
      <c r="A6" s="43" t="str">
        <f>Arbejdsark!$A$4</f>
        <v>Materialer</v>
      </c>
      <c r="B6" s="43" t="str">
        <f>Arbejdsark!$B$4</f>
        <v>1.1</v>
      </c>
      <c r="C6" s="43" t="str">
        <f>IF('Sortering af spørgsmål'!$C$6=Projektforudsætninger!$C$20,Arbejdsark!$C$4,"")</f>
        <v/>
      </c>
      <c r="D6" s="43"/>
      <c r="E6" s="43"/>
      <c r="F6" s="43"/>
      <c r="G6" s="43"/>
      <c r="H6" s="43"/>
      <c r="I6" s="43" t="str">
        <f>IF('Sortering af spørgsmål'!$C$6=Projektforudsætninger!$C$20,Arbejdsark!$K$4,"")</f>
        <v/>
      </c>
      <c r="J6" s="37" t="s">
        <v>9</v>
      </c>
      <c r="K6" s="37"/>
      <c r="L6" s="19"/>
      <c r="M6" s="19"/>
      <c r="N6" s="19"/>
      <c r="O6" s="19"/>
      <c r="P6" s="19"/>
      <c r="Q6" s="19"/>
      <c r="R6" s="19"/>
      <c r="S6" s="19"/>
      <c r="T6" s="19"/>
      <c r="U6" s="19"/>
      <c r="AD6" s="294" t="s">
        <v>495</v>
      </c>
      <c r="AH6" s="294" t="s">
        <v>495</v>
      </c>
    </row>
    <row r="7" spans="1:34" ht="141.75" customHeight="1" x14ac:dyDescent="0.45">
      <c r="A7" s="43" t="str">
        <f>Arbejdsark!$A$4</f>
        <v>Materialer</v>
      </c>
      <c r="B7" s="43" t="str">
        <f>Arbejdsark!$B$10</f>
        <v>1.2</v>
      </c>
      <c r="C7" s="43" t="str">
        <f>IF('Sortering af spørgsmål'!$C$6=Projektforudsætninger!$C$20,Arbejdsark!$C$10,"")</f>
        <v/>
      </c>
      <c r="D7" s="43">
        <f>Arbejdsark!D24</f>
        <v>0</v>
      </c>
      <c r="E7" s="43">
        <f>Arbejdsark!I24</f>
        <v>0</v>
      </c>
      <c r="F7" s="43">
        <f>Arbejdsark!J24</f>
        <v>0</v>
      </c>
      <c r="G7" s="43" t="e">
        <f>Arbejdsark!#REF!</f>
        <v>#REF!</v>
      </c>
      <c r="H7" s="43" t="e">
        <f>Arbejdsark!#REF!</f>
        <v>#REF!</v>
      </c>
      <c r="I7" s="43" t="str">
        <f>IF('Sortering af spørgsmål'!$C$6=Projektforudsætninger!$C$20,Arbejdsark!$K$10,"")</f>
        <v/>
      </c>
      <c r="J7" s="37" t="s">
        <v>9</v>
      </c>
      <c r="K7" s="37"/>
      <c r="L7" s="19"/>
      <c r="M7" s="19"/>
      <c r="N7" s="19"/>
      <c r="O7" s="19"/>
      <c r="P7" s="19"/>
      <c r="Q7" s="19"/>
      <c r="R7" s="19"/>
      <c r="S7" s="19"/>
      <c r="T7" s="19"/>
      <c r="U7" s="19"/>
      <c r="AD7" s="294" t="s">
        <v>186</v>
      </c>
    </row>
    <row r="8" spans="1:34" ht="198.4" customHeight="1" x14ac:dyDescent="0.45">
      <c r="A8" s="43" t="str">
        <f>Arbejdsark!$A$4</f>
        <v>Materialer</v>
      </c>
      <c r="B8" s="43" t="str">
        <f>Arbejdsark!$B$15</f>
        <v>1.3</v>
      </c>
      <c r="C8" s="43" t="str">
        <f>IF('Sortering af spørgsmål'!$C$6=Projektforudsætninger!$C$20,Arbejdsark!$C$15,"")</f>
        <v/>
      </c>
      <c r="D8" s="43" t="str">
        <f>Arbejdsark!D25</f>
        <v>ENV2.1
Vægtning: ENV2.1 pkt. 3</v>
      </c>
      <c r="E8" s="43" t="str">
        <f>Arbejdsark!I25</f>
        <v>x</v>
      </c>
      <c r="F8" s="43">
        <f>Arbejdsark!J25</f>
        <v>0</v>
      </c>
      <c r="G8" s="43" t="e">
        <f>Arbejdsark!#REF!</f>
        <v>#REF!</v>
      </c>
      <c r="H8" s="43" t="e">
        <f>Arbejdsark!#REF!</f>
        <v>#REF!</v>
      </c>
      <c r="I8" s="43" t="str">
        <f>IF('Sortering af spørgsmål'!$C$6=Projektforudsætninger!$C$20,Arbejdsark!$K$15,"")</f>
        <v/>
      </c>
      <c r="J8" s="37" t="s">
        <v>9</v>
      </c>
      <c r="K8" s="37"/>
      <c r="L8" s="19"/>
      <c r="M8" s="19"/>
      <c r="N8" s="19"/>
      <c r="O8" s="19"/>
      <c r="P8" s="19"/>
      <c r="Q8" s="19"/>
      <c r="R8" s="19"/>
      <c r="S8" s="19"/>
      <c r="T8" s="19"/>
      <c r="U8" s="19"/>
    </row>
    <row r="9" spans="1:34" ht="198.4" customHeight="1" x14ac:dyDescent="0.45">
      <c r="A9" s="43" t="str">
        <f>Arbejdsark!$A$4</f>
        <v>Materialer</v>
      </c>
      <c r="B9" s="43" t="str">
        <f>Arbejdsark!$B$20</f>
        <v>1.4</v>
      </c>
      <c r="C9" s="43" t="str">
        <f>IF('Sortering af spørgsmål'!$C$6=Projektforudsætninger!$C$20,Arbejdsark!$C$20,"")</f>
        <v/>
      </c>
      <c r="D9" s="43">
        <f>Arbejdsark!D26</f>
        <v>0</v>
      </c>
      <c r="E9" s="43">
        <f>Arbejdsark!I26</f>
        <v>0</v>
      </c>
      <c r="F9" s="43">
        <f>Arbejdsark!J26</f>
        <v>0</v>
      </c>
      <c r="G9" s="43" t="e">
        <f>Arbejdsark!#REF!</f>
        <v>#REF!</v>
      </c>
      <c r="H9" s="43" t="e">
        <f>Arbejdsark!#REF!</f>
        <v>#REF!</v>
      </c>
      <c r="I9" s="43" t="str">
        <f>IF('Sortering af spørgsmål'!$C$6=Projektforudsætninger!$C$20,Arbejdsark!$K$20,"")</f>
        <v/>
      </c>
      <c r="J9" s="37" t="s">
        <v>9</v>
      </c>
      <c r="K9" s="37"/>
      <c r="L9" s="19"/>
      <c r="M9" s="19"/>
      <c r="N9" s="19"/>
      <c r="O9" s="19"/>
      <c r="P9" s="19"/>
      <c r="Q9" s="19"/>
      <c r="R9" s="19"/>
      <c r="S9" s="19"/>
      <c r="T9" s="19"/>
      <c r="U9" s="19"/>
      <c r="Y9" s="19"/>
      <c r="AF9" s="30">
        <v>1</v>
      </c>
    </row>
    <row r="10" spans="1:34" ht="11.65" customHeight="1" x14ac:dyDescent="0.45">
      <c r="A10" s="38"/>
      <c r="B10" s="38"/>
      <c r="C10" s="38"/>
      <c r="D10" s="38"/>
      <c r="E10" s="38"/>
      <c r="F10" s="38"/>
      <c r="G10" s="38"/>
      <c r="H10" s="38"/>
      <c r="I10" s="38"/>
      <c r="J10" s="29"/>
      <c r="K10" s="35"/>
      <c r="L10" s="19"/>
      <c r="M10" s="19"/>
      <c r="N10" s="19"/>
      <c r="O10" s="19"/>
      <c r="P10" s="19"/>
      <c r="Q10" s="19"/>
      <c r="R10" s="19"/>
      <c r="S10" s="19"/>
      <c r="T10" s="19"/>
      <c r="U10" s="19"/>
      <c r="AD10" s="294" t="s">
        <v>10</v>
      </c>
      <c r="AF10" s="30">
        <v>2</v>
      </c>
    </row>
    <row r="11" spans="1:34" ht="14.25" customHeight="1" x14ac:dyDescent="0.45">
      <c r="A11" s="50" t="str">
        <f>Arbejdsark!$A$25</f>
        <v>Energi</v>
      </c>
      <c r="B11" s="50">
        <v>2</v>
      </c>
      <c r="C11" s="50"/>
      <c r="D11" s="50"/>
      <c r="E11" s="50"/>
      <c r="F11" s="50"/>
      <c r="G11" s="50"/>
      <c r="H11" s="50"/>
      <c r="I11" s="50" t="str">
        <f>IF('Sortering af spørgsmål'!$C$7=Projektforudsætninger!$C$20,"Udfyld spørgsmål","Ingen spørgsmål")</f>
        <v>Ingen spørgsmål</v>
      </c>
      <c r="J11" s="51"/>
      <c r="K11" s="52"/>
      <c r="L11" s="19"/>
      <c r="M11" s="19"/>
      <c r="N11" s="19"/>
      <c r="O11" s="19"/>
      <c r="P11" s="19"/>
      <c r="Q11" s="19"/>
      <c r="R11" s="19"/>
      <c r="S11" s="19"/>
      <c r="T11" s="19"/>
      <c r="U11" s="19"/>
      <c r="AD11" s="294" t="s">
        <v>12</v>
      </c>
      <c r="AF11" s="30">
        <v>3</v>
      </c>
    </row>
    <row r="12" spans="1:34" ht="241.15" customHeight="1" x14ac:dyDescent="0.45">
      <c r="A12" s="43" t="str">
        <f>Arbejdsark!$A$25</f>
        <v>Energi</v>
      </c>
      <c r="B12" s="43" t="str">
        <f>Arbejdsark!$B$25</f>
        <v>2.1</v>
      </c>
      <c r="C12" s="43" t="str">
        <f>IF('Sortering af spørgsmål'!$C$7=Projektforudsætninger!$C$20,Arbejdsark!$C$25,"")</f>
        <v/>
      </c>
      <c r="D12" s="43">
        <f>Arbejdsark!D28</f>
        <v>0</v>
      </c>
      <c r="E12" s="43">
        <f>Arbejdsark!I28</f>
        <v>0</v>
      </c>
      <c r="F12" s="43">
        <f>Arbejdsark!J28</f>
        <v>0</v>
      </c>
      <c r="G12" s="43" t="e">
        <f>Arbejdsark!#REF!</f>
        <v>#REF!</v>
      </c>
      <c r="H12" s="43" t="e">
        <f>Arbejdsark!#REF!</f>
        <v>#REF!</v>
      </c>
      <c r="I12" s="43" t="str">
        <f>IF('Sortering af spørgsmål'!$C$7=Projektforudsætninger!$C$20,Arbejdsark!$K$25,"")</f>
        <v/>
      </c>
      <c r="J12" s="37" t="s">
        <v>9</v>
      </c>
      <c r="K12" s="37"/>
      <c r="L12" s="19"/>
      <c r="M12" s="19"/>
      <c r="N12" s="19"/>
      <c r="O12" s="19"/>
      <c r="P12" s="19"/>
      <c r="Q12" s="19"/>
      <c r="R12" s="19"/>
      <c r="S12" s="19"/>
      <c r="T12" s="19"/>
      <c r="U12" s="19"/>
      <c r="AD12" s="30" t="s">
        <v>9</v>
      </c>
      <c r="AF12" s="30">
        <v>4</v>
      </c>
    </row>
    <row r="13" spans="1:34" ht="113.65" customHeight="1" x14ac:dyDescent="0.45">
      <c r="A13" s="43" t="str">
        <f>Arbejdsark!$A$25</f>
        <v>Energi</v>
      </c>
      <c r="B13" s="43" t="str">
        <f>Arbejdsark!$B$30</f>
        <v>2.2</v>
      </c>
      <c r="C13" s="43" t="str">
        <f>IF('Sortering af spørgsmål'!$C$7=Projektforudsætninger!$C$20,Arbejdsark!$C$30,"")</f>
        <v/>
      </c>
      <c r="D13" s="43">
        <f>Arbejdsark!D29</f>
        <v>0</v>
      </c>
      <c r="E13" s="43">
        <f>Arbejdsark!I29</f>
        <v>0</v>
      </c>
      <c r="F13" s="43">
        <f>Arbejdsark!J29</f>
        <v>0</v>
      </c>
      <c r="G13" s="43" t="e">
        <f>Arbejdsark!#REF!</f>
        <v>#REF!</v>
      </c>
      <c r="H13" s="43" t="e">
        <f>Arbejdsark!#REF!</f>
        <v>#REF!</v>
      </c>
      <c r="I13" s="43" t="str">
        <f>IF('Sortering af spørgsmål'!$C$7=Projektforudsætninger!$C$20,Arbejdsark!$K$30,"")</f>
        <v/>
      </c>
      <c r="J13" s="37" t="s">
        <v>9</v>
      </c>
      <c r="K13" s="37"/>
      <c r="L13" s="19"/>
      <c r="M13" s="19"/>
      <c r="N13" s="19"/>
      <c r="O13" s="19"/>
      <c r="P13" s="19"/>
      <c r="Q13" s="19"/>
      <c r="R13" s="19"/>
      <c r="S13" s="19"/>
      <c r="T13" s="19"/>
      <c r="U13" s="19"/>
      <c r="AD13" s="294" t="s">
        <v>51</v>
      </c>
    </row>
    <row r="14" spans="1:34" ht="14.25" customHeight="1" x14ac:dyDescent="0.45">
      <c r="A14" s="23"/>
      <c r="B14" s="23"/>
      <c r="C14" s="23"/>
      <c r="D14" s="24"/>
      <c r="E14" s="23"/>
      <c r="F14" s="23"/>
      <c r="G14" s="23"/>
      <c r="H14" s="23"/>
      <c r="I14" s="23"/>
      <c r="J14" s="29"/>
      <c r="K14" s="35"/>
      <c r="L14" s="19"/>
      <c r="M14" s="19"/>
      <c r="N14" s="19"/>
      <c r="O14" s="19"/>
      <c r="P14" s="19"/>
      <c r="Q14" s="19"/>
      <c r="R14" s="19"/>
      <c r="S14" s="19"/>
      <c r="T14" s="19"/>
      <c r="U14" s="19"/>
      <c r="AD14" s="294" t="s">
        <v>176</v>
      </c>
      <c r="AF14" s="294">
        <v>3</v>
      </c>
    </row>
    <row r="15" spans="1:34" ht="14.25" customHeight="1" x14ac:dyDescent="0.45">
      <c r="A15" s="50" t="str">
        <f>Arbejdsark!$A$35</f>
        <v>Vand</v>
      </c>
      <c r="B15" s="50">
        <v>3</v>
      </c>
      <c r="C15" s="50"/>
      <c r="D15" s="50"/>
      <c r="E15" s="50"/>
      <c r="F15" s="50"/>
      <c r="G15" s="50"/>
      <c r="H15" s="50"/>
      <c r="I15" s="50" t="str">
        <f>IF('Sortering af spørgsmål'!$C$8=Projektforudsætninger!$C$20,"Udfyld spørgsmål","Ingen spørgsmål")</f>
        <v>Ingen spørgsmål</v>
      </c>
      <c r="J15" s="51"/>
      <c r="K15" s="52"/>
      <c r="L15" s="19"/>
      <c r="M15" s="19"/>
      <c r="N15" s="19"/>
      <c r="O15" s="19"/>
      <c r="P15" s="19"/>
      <c r="Q15" s="19"/>
      <c r="R15" s="19"/>
      <c r="S15" s="19"/>
      <c r="T15" s="19"/>
      <c r="U15" s="19"/>
      <c r="AD15" s="294" t="s">
        <v>55</v>
      </c>
      <c r="AE15" s="33"/>
      <c r="AF15" s="294">
        <v>2</v>
      </c>
      <c r="AG15" s="33"/>
      <c r="AH15" s="33"/>
    </row>
    <row r="16" spans="1:34" ht="170.25" customHeight="1" x14ac:dyDescent="0.45">
      <c r="A16" s="44" t="str">
        <f>Arbejdsark!$A$35</f>
        <v>Vand</v>
      </c>
      <c r="B16" s="43" t="str">
        <f>Arbejdsark!$B$35</f>
        <v>3.1</v>
      </c>
      <c r="C16" s="45" t="str">
        <f>IF('Sortering af spørgsmål'!$C$8=Projektforudsætninger!$C$20,Arbejdsark!$C$35,"")</f>
        <v/>
      </c>
      <c r="D16" s="46">
        <f>Arbejdsark!D31</f>
        <v>0</v>
      </c>
      <c r="E16" s="45">
        <f>Arbejdsark!I31</f>
        <v>0</v>
      </c>
      <c r="F16" s="45">
        <f>Arbejdsark!J31</f>
        <v>0</v>
      </c>
      <c r="G16" s="45" t="e">
        <f>Arbejdsark!#REF!</f>
        <v>#REF!</v>
      </c>
      <c r="H16" s="45" t="e">
        <f>Arbejdsark!#REF!</f>
        <v>#REF!</v>
      </c>
      <c r="I16" s="45" t="str">
        <f>IF('Sortering af spørgsmål'!$C$8=Projektforudsætninger!$C$20,Arbejdsark!$K$35,"")</f>
        <v/>
      </c>
      <c r="J16" s="37" t="s">
        <v>9</v>
      </c>
      <c r="K16" s="37"/>
      <c r="L16" s="19"/>
      <c r="M16" s="19"/>
      <c r="N16" s="19"/>
      <c r="O16" s="19"/>
      <c r="P16" s="19"/>
      <c r="Q16" s="19"/>
      <c r="R16" s="19"/>
      <c r="S16" s="19"/>
      <c r="T16" s="19"/>
      <c r="U16" s="19"/>
      <c r="AD16" s="294" t="s">
        <v>56</v>
      </c>
      <c r="AF16" s="294" t="s">
        <v>187</v>
      </c>
    </row>
    <row r="17" spans="1:21" ht="141.75" customHeight="1" x14ac:dyDescent="0.45">
      <c r="A17" s="44" t="str">
        <f>Arbejdsark!$A$35</f>
        <v>Vand</v>
      </c>
      <c r="B17" s="43" t="str">
        <f>Arbejdsark!$B$40</f>
        <v>3.2</v>
      </c>
      <c r="C17" s="45" t="str">
        <f>IF('Sortering af spørgsmål'!$C$8=Projektforudsætninger!$C$20,Arbejdsark!$C$40,"")</f>
        <v/>
      </c>
      <c r="D17" s="46">
        <f>Arbejdsark!D32</f>
        <v>0</v>
      </c>
      <c r="E17" s="45">
        <f>Arbejdsark!I32</f>
        <v>0</v>
      </c>
      <c r="F17" s="45">
        <f>Arbejdsark!J32</f>
        <v>0</v>
      </c>
      <c r="G17" s="45" t="e">
        <f>Arbejdsark!#REF!</f>
        <v>#REF!</v>
      </c>
      <c r="H17" s="45" t="e">
        <f>Arbejdsark!#REF!</f>
        <v>#REF!</v>
      </c>
      <c r="I17" s="45" t="str">
        <f>IF('Sortering af spørgsmål'!$C$8=Projektforudsætninger!$C$20,Arbejdsark!$K$40,"")</f>
        <v/>
      </c>
      <c r="J17" s="37" t="s">
        <v>9</v>
      </c>
      <c r="K17" s="37"/>
      <c r="L17" s="19"/>
      <c r="M17" s="19"/>
      <c r="N17" s="19"/>
      <c r="O17" s="19"/>
      <c r="P17" s="19"/>
      <c r="Q17" s="19"/>
      <c r="R17" s="19"/>
      <c r="S17" s="19"/>
      <c r="T17" s="19"/>
      <c r="U17" s="19"/>
    </row>
    <row r="18" spans="1:21" ht="113.65" customHeight="1" x14ac:dyDescent="0.45">
      <c r="A18" s="44" t="str">
        <f>Arbejdsark!$A$35</f>
        <v>Vand</v>
      </c>
      <c r="B18" s="43" t="str">
        <f>Arbejdsark!$B$45</f>
        <v>3.3</v>
      </c>
      <c r="C18" s="45" t="str">
        <f>IF('Sortering af spørgsmål'!$C$8=Projektforudsætninger!$C$20,Arbejdsark!$C$45,"")</f>
        <v/>
      </c>
      <c r="D18" s="46">
        <f>Arbejdsark!D33</f>
        <v>0</v>
      </c>
      <c r="E18" s="45">
        <f>Arbejdsark!I33</f>
        <v>0</v>
      </c>
      <c r="F18" s="45">
        <f>Arbejdsark!J33</f>
        <v>0</v>
      </c>
      <c r="G18" s="45" t="e">
        <f>Arbejdsark!#REF!</f>
        <v>#REF!</v>
      </c>
      <c r="H18" s="45" t="e">
        <f>Arbejdsark!#REF!</f>
        <v>#REF!</v>
      </c>
      <c r="I18" s="45" t="str">
        <f>IF('Sortering af spørgsmål'!$C$8=Projektforudsætninger!$C$20,Arbejdsark!$K$45,"")</f>
        <v/>
      </c>
      <c r="J18" s="37" t="s">
        <v>9</v>
      </c>
      <c r="K18" s="37"/>
      <c r="L18" s="19"/>
      <c r="M18" s="19"/>
      <c r="N18" s="19"/>
      <c r="O18" s="19"/>
      <c r="P18" s="19"/>
      <c r="Q18" s="19"/>
      <c r="R18" s="19"/>
      <c r="S18" s="19"/>
      <c r="T18" s="19"/>
      <c r="U18" s="19"/>
    </row>
    <row r="19" spans="1:21" x14ac:dyDescent="0.45">
      <c r="A19" s="45"/>
      <c r="B19" s="45"/>
      <c r="C19" s="45"/>
      <c r="D19" s="46"/>
      <c r="E19" s="45"/>
      <c r="F19" s="45"/>
      <c r="G19" s="45"/>
      <c r="H19" s="45"/>
      <c r="I19" s="45"/>
      <c r="J19" s="47"/>
      <c r="K19" s="48"/>
      <c r="L19" s="19"/>
      <c r="M19" s="19"/>
      <c r="N19" s="19"/>
      <c r="O19" s="19"/>
      <c r="P19" s="19"/>
      <c r="Q19" s="19"/>
      <c r="R19" s="19"/>
      <c r="S19" s="19"/>
      <c r="T19" s="19"/>
      <c r="U19" s="19"/>
    </row>
    <row r="20" spans="1:21" ht="14.25" customHeight="1" x14ac:dyDescent="0.45">
      <c r="A20" s="50" t="str">
        <f>Arbejdsark!$A$51</f>
        <v>Beplantning</v>
      </c>
      <c r="B20" s="50">
        <v>4</v>
      </c>
      <c r="C20" s="50"/>
      <c r="D20" s="50"/>
      <c r="E20" s="50"/>
      <c r="F20" s="50"/>
      <c r="G20" s="50"/>
      <c r="H20" s="50"/>
      <c r="I20" s="50" t="str">
        <f>IF('Sortering af spørgsmål'!$C$9=Projektforudsætninger!$C$20,"Udfyld spørgsmål","Ingen spørgsmål")</f>
        <v>Ingen spørgsmål</v>
      </c>
      <c r="J20" s="51"/>
      <c r="K20" s="52"/>
      <c r="L20" s="19"/>
      <c r="M20" s="19"/>
      <c r="N20" s="19"/>
      <c r="O20" s="19"/>
      <c r="P20" s="19"/>
      <c r="Q20" s="19"/>
      <c r="R20" s="19"/>
      <c r="S20" s="19"/>
      <c r="T20" s="19"/>
      <c r="U20" s="19"/>
    </row>
    <row r="21" spans="1:21" ht="141.75" customHeight="1" x14ac:dyDescent="0.45">
      <c r="A21" s="45" t="str">
        <f>Arbejdsark!$A$51</f>
        <v>Beplantning</v>
      </c>
      <c r="B21" s="43" t="str">
        <f>Arbejdsark!$B$51</f>
        <v>4.1</v>
      </c>
      <c r="C21" s="45" t="str">
        <f>IF('Sortering af spørgsmål'!$C$9=Projektforudsætninger!$C$20,Arbejdsark!$C$51,"")</f>
        <v/>
      </c>
      <c r="D21" s="46" t="str">
        <f>Arbejdsark!D35</f>
        <v>ENV2.2
Vægtning: 20% af ENV2.2</v>
      </c>
      <c r="E21" s="45" t="str">
        <f>Arbejdsark!I35</f>
        <v>x</v>
      </c>
      <c r="F21" s="45">
        <f>Arbejdsark!J35</f>
        <v>0</v>
      </c>
      <c r="G21" s="45" t="e">
        <f>Arbejdsark!#REF!</f>
        <v>#REF!</v>
      </c>
      <c r="H21" s="45" t="e">
        <f>Arbejdsark!#REF!</f>
        <v>#REF!</v>
      </c>
      <c r="I21" s="45" t="str">
        <f>IF('Sortering af spørgsmål'!$C$9=Projektforudsætninger!$C$20,Arbejdsark!$K$51,"")</f>
        <v/>
      </c>
      <c r="J21" s="37" t="s">
        <v>9</v>
      </c>
      <c r="K21" s="41"/>
      <c r="L21" s="19"/>
      <c r="M21" s="19"/>
      <c r="N21" s="19"/>
      <c r="O21" s="19"/>
      <c r="P21" s="19"/>
      <c r="Q21" s="19"/>
      <c r="R21" s="19"/>
      <c r="S21" s="19"/>
      <c r="T21" s="19"/>
      <c r="U21" s="19"/>
    </row>
    <row r="22" spans="1:21" x14ac:dyDescent="0.45">
      <c r="A22" s="45" t="str">
        <f>Arbejdsark!$A$51</f>
        <v>Beplantning</v>
      </c>
      <c r="B22" s="43" t="str">
        <f>Arbejdsark!$B$58</f>
        <v>4.2</v>
      </c>
      <c r="C22" s="45" t="str">
        <f>IF('Sortering af spørgsmål'!$C$9=Projektforudsætninger!$C$20,Arbejdsark!$C$58,"")</f>
        <v/>
      </c>
      <c r="D22" s="46"/>
      <c r="E22" s="45"/>
      <c r="F22" s="45"/>
      <c r="G22" s="45"/>
      <c r="H22" s="45"/>
      <c r="I22" s="45" t="str">
        <f>IF('Sortering af spørgsmål'!$C$9=Projektforudsætninger!$C$20,Arbejdsark!$K$58,"")</f>
        <v/>
      </c>
      <c r="J22" s="37" t="s">
        <v>9</v>
      </c>
      <c r="K22" s="37"/>
      <c r="L22" s="19"/>
      <c r="M22" s="19"/>
      <c r="N22" s="19"/>
      <c r="O22" s="19"/>
      <c r="P22" s="19"/>
      <c r="Q22" s="19"/>
      <c r="R22" s="19"/>
      <c r="S22" s="19"/>
      <c r="T22" s="19"/>
      <c r="U22" s="19"/>
    </row>
    <row r="23" spans="1:21" x14ac:dyDescent="0.45">
      <c r="A23" s="45" t="str">
        <f>Arbejdsark!$A$51</f>
        <v>Beplantning</v>
      </c>
      <c r="B23" s="43" t="str">
        <f>Arbejdsark!$B$63</f>
        <v>4.3</v>
      </c>
      <c r="C23" s="45" t="str">
        <f>IF('Sortering af spørgsmål'!$C$9=Projektforudsætninger!$C$20,Arbejdsark!$C$63,"")</f>
        <v/>
      </c>
      <c r="D23" s="46">
        <f>Arbejdsark!D36</f>
        <v>0</v>
      </c>
      <c r="E23" s="45">
        <f>Arbejdsark!I36</f>
        <v>0</v>
      </c>
      <c r="F23" s="45">
        <f>Arbejdsark!J36</f>
        <v>0</v>
      </c>
      <c r="G23" s="45" t="e">
        <f>Arbejdsark!#REF!</f>
        <v>#REF!</v>
      </c>
      <c r="H23" s="45" t="e">
        <f>Arbejdsark!#REF!</f>
        <v>#REF!</v>
      </c>
      <c r="I23" s="45" t="str">
        <f>IF('Sortering af spørgsmål'!$C$9=Projektforudsætninger!$C$20,Arbejdsark!$K$63,"")</f>
        <v/>
      </c>
      <c r="J23" s="37" t="s">
        <v>9</v>
      </c>
      <c r="K23" s="37"/>
      <c r="L23" s="19"/>
      <c r="M23" s="19"/>
      <c r="N23" s="19"/>
      <c r="O23" s="19"/>
      <c r="P23" s="19"/>
      <c r="Q23" s="19"/>
      <c r="R23" s="19"/>
      <c r="S23" s="19"/>
      <c r="T23" s="19"/>
      <c r="U23" s="19"/>
    </row>
    <row r="24" spans="1:21" ht="133.5" customHeight="1" x14ac:dyDescent="0.45">
      <c r="A24" s="45" t="str">
        <f>Arbejdsark!$A$51</f>
        <v>Beplantning</v>
      </c>
      <c r="B24" s="43" t="str">
        <f>Arbejdsark!$B$68</f>
        <v>4.4</v>
      </c>
      <c r="C24" s="45" t="str">
        <f>IF('Sortering af spørgsmål'!$C$9=Projektforudsætninger!$C$20,Arbejdsark!$C$68,"")</f>
        <v/>
      </c>
      <c r="D24" s="46">
        <f>Arbejdsark!D37</f>
        <v>0</v>
      </c>
      <c r="E24" s="45">
        <f>Arbejdsark!I37</f>
        <v>0</v>
      </c>
      <c r="F24" s="45">
        <f>Arbejdsark!J37</f>
        <v>0</v>
      </c>
      <c r="G24" s="45" t="e">
        <f>Arbejdsark!#REF!</f>
        <v>#REF!</v>
      </c>
      <c r="H24" s="45" t="e">
        <f>Arbejdsark!#REF!</f>
        <v>#REF!</v>
      </c>
      <c r="I24" s="45" t="str">
        <f>IF('Sortering af spørgsmål'!$C$9=Projektforudsætninger!$C$20,Arbejdsark!$K$68,"")</f>
        <v/>
      </c>
      <c r="J24" s="37" t="s">
        <v>9</v>
      </c>
      <c r="K24" s="37"/>
      <c r="L24" s="19"/>
      <c r="M24" s="19"/>
      <c r="N24" s="19"/>
      <c r="O24" s="19"/>
      <c r="P24" s="19"/>
      <c r="Q24" s="19"/>
      <c r="R24" s="19"/>
      <c r="S24" s="19"/>
      <c r="T24" s="19"/>
      <c r="U24" s="19"/>
    </row>
    <row r="25" spans="1:21" x14ac:dyDescent="0.45">
      <c r="A25" s="134"/>
      <c r="B25" s="134"/>
      <c r="C25" s="134"/>
      <c r="D25" s="134"/>
      <c r="E25" s="134"/>
      <c r="F25" s="134"/>
      <c r="G25" s="134"/>
      <c r="H25" s="134"/>
      <c r="I25" s="134"/>
      <c r="J25" s="47"/>
      <c r="K25" s="48"/>
      <c r="L25" s="19"/>
      <c r="M25" s="19"/>
      <c r="N25" s="19"/>
      <c r="O25" s="19"/>
      <c r="P25" s="19"/>
      <c r="Q25" s="19"/>
      <c r="R25" s="19"/>
      <c r="S25" s="19"/>
      <c r="T25" s="19"/>
      <c r="U25" s="19"/>
    </row>
    <row r="26" spans="1:21" ht="28.5" customHeight="1" x14ac:dyDescent="0.45">
      <c r="A26" s="50" t="str">
        <f>Arbejdsark!$A$73</f>
        <v>Bebyggelsestæthed</v>
      </c>
      <c r="B26" s="50">
        <v>5</v>
      </c>
      <c r="C26" s="50"/>
      <c r="D26" s="50"/>
      <c r="E26" s="50"/>
      <c r="F26" s="50"/>
      <c r="G26" s="50"/>
      <c r="H26" s="50"/>
      <c r="I26" s="50" t="str">
        <f>IF('Sortering af spørgsmål'!$C$10=Projektforudsætninger!$C$20,"Udfyld spørgsmål","Ingen spørgsmål")</f>
        <v>Ingen spørgsmål</v>
      </c>
      <c r="J26" s="50"/>
      <c r="K26" s="50"/>
      <c r="L26" s="19"/>
      <c r="M26" s="19"/>
      <c r="N26" s="19"/>
      <c r="O26" s="19"/>
      <c r="P26" s="19"/>
      <c r="Q26" s="19"/>
      <c r="R26" s="19"/>
      <c r="S26" s="19"/>
      <c r="T26" s="19"/>
      <c r="U26" s="19"/>
    </row>
    <row r="27" spans="1:21" x14ac:dyDescent="0.45">
      <c r="A27" s="45" t="str">
        <f>Arbejdsark!$A$73</f>
        <v>Bebyggelsestæthed</v>
      </c>
      <c r="B27" s="43" t="str">
        <f>Arbejdsark!$B$73</f>
        <v>5.1</v>
      </c>
      <c r="C27" s="45" t="str">
        <f>IF(Projektforudsætninger!C37=Projektforudsætninger!H7,IF('Sortering af spørgsmål'!$C$10=Projektforudsætninger!$C$20,Arbejdsark!$C$73,""),"")</f>
        <v/>
      </c>
      <c r="D27" s="46">
        <f>Arbejdsark!D39</f>
        <v>0</v>
      </c>
      <c r="E27" s="45">
        <f>Arbejdsark!I39</f>
        <v>0</v>
      </c>
      <c r="F27" s="45">
        <f>Arbejdsark!J39</f>
        <v>0</v>
      </c>
      <c r="G27" s="45" t="e">
        <f>Arbejdsark!#REF!</f>
        <v>#REF!</v>
      </c>
      <c r="H27" s="45" t="e">
        <f>Arbejdsark!#REF!</f>
        <v>#REF!</v>
      </c>
      <c r="I27" s="45" t="str">
        <f>IF(Projektforudsætninger!C37=Projektforudsætninger!H7,IF('Sortering af spørgsmål'!$C$10=Projektforudsætninger!$C$20,Arbejdsark!$K$73,""),"")</f>
        <v/>
      </c>
      <c r="J27" s="37" t="s">
        <v>9</v>
      </c>
      <c r="K27" s="37"/>
      <c r="L27" s="19"/>
      <c r="M27" s="19"/>
      <c r="N27" s="19"/>
      <c r="O27" s="19"/>
      <c r="P27" s="19"/>
      <c r="Q27" s="19"/>
      <c r="R27" s="19"/>
      <c r="S27" s="19"/>
      <c r="T27" s="19"/>
      <c r="U27" s="19"/>
    </row>
    <row r="28" spans="1:21" x14ac:dyDescent="0.45">
      <c r="A28" s="45"/>
      <c r="B28" s="45"/>
      <c r="C28" s="45"/>
      <c r="D28" s="46"/>
      <c r="E28" s="45"/>
      <c r="F28" s="45"/>
      <c r="G28" s="45"/>
      <c r="H28" s="45"/>
      <c r="I28" s="45"/>
      <c r="J28" s="47"/>
      <c r="K28" s="48"/>
      <c r="L28" s="19"/>
      <c r="M28" s="19"/>
      <c r="N28" s="19"/>
      <c r="O28" s="19"/>
      <c r="P28" s="19"/>
      <c r="Q28" s="19"/>
      <c r="R28" s="19"/>
      <c r="S28" s="19"/>
      <c r="T28" s="19"/>
      <c r="U28" s="19"/>
    </row>
    <row r="29" spans="1:21" ht="28.5" customHeight="1" x14ac:dyDescent="0.45">
      <c r="A29" s="50" t="str">
        <f>Arbejdsark!$A$78</f>
        <v>Forurening</v>
      </c>
      <c r="B29" s="50">
        <v>6</v>
      </c>
      <c r="C29" s="50"/>
      <c r="D29" s="50"/>
      <c r="E29" s="50"/>
      <c r="F29" s="50"/>
      <c r="G29" s="50"/>
      <c r="H29" s="50"/>
      <c r="I29" s="50" t="str">
        <f>IF('Sortering af spørgsmål'!$C$11=Projektforudsætninger!$C$20,"Udfyld spørgsmål","Ingen spørgsmål")</f>
        <v>Ingen spørgsmål</v>
      </c>
      <c r="J29" s="50"/>
      <c r="K29" s="50"/>
      <c r="L29" s="19"/>
      <c r="M29" s="19"/>
      <c r="N29" s="19"/>
      <c r="O29" s="19"/>
      <c r="P29" s="19"/>
      <c r="Q29" s="19"/>
      <c r="R29" s="19"/>
      <c r="S29" s="19"/>
      <c r="T29" s="19"/>
      <c r="U29" s="19"/>
    </row>
    <row r="30" spans="1:21" ht="226.9" customHeight="1" x14ac:dyDescent="0.45">
      <c r="A30" s="45" t="str">
        <f>Arbejdsark!$A$78</f>
        <v>Forurening</v>
      </c>
      <c r="B30" s="43" t="str">
        <f>Arbejdsark!$B$78</f>
        <v>6.1</v>
      </c>
      <c r="C30" s="45" t="str">
        <f>IF('Sortering af spørgsmål'!$C$11=Projektforudsætninger!$C$20,Arbejdsark!$C$78,"")</f>
        <v/>
      </c>
      <c r="D30" s="46">
        <f>Arbejdsark!D41</f>
        <v>0</v>
      </c>
      <c r="E30" s="45">
        <f>Arbejdsark!I41</f>
        <v>0</v>
      </c>
      <c r="F30" s="45">
        <f>Arbejdsark!J41</f>
        <v>0</v>
      </c>
      <c r="G30" s="45" t="e">
        <f>Arbejdsark!#REF!</f>
        <v>#REF!</v>
      </c>
      <c r="H30" s="45" t="e">
        <f>Arbejdsark!#REF!</f>
        <v>#REF!</v>
      </c>
      <c r="I30" s="45" t="str">
        <f>IF('Sortering af spørgsmål'!$C$11=Projektforudsætninger!$C$20,Arbejdsark!$K$78,"")</f>
        <v/>
      </c>
      <c r="J30" s="37" t="s">
        <v>9</v>
      </c>
      <c r="K30" s="37"/>
      <c r="L30" s="19"/>
      <c r="M30" s="19"/>
      <c r="N30" s="19"/>
      <c r="O30" s="19"/>
      <c r="P30" s="19"/>
      <c r="Q30" s="19"/>
      <c r="R30" s="19"/>
      <c r="S30" s="19"/>
      <c r="T30" s="19"/>
      <c r="U30" s="19"/>
    </row>
    <row r="31" spans="1:21" ht="198.4" customHeight="1" x14ac:dyDescent="0.45">
      <c r="A31" s="45" t="str">
        <f>Arbejdsark!$A$78</f>
        <v>Forurening</v>
      </c>
      <c r="B31" s="43" t="str">
        <f>Arbejdsark!$B$84</f>
        <v>6.2</v>
      </c>
      <c r="C31" s="45" t="str">
        <f>IF('Sortering af spørgsmål'!$C$11=Projektforudsætninger!$C$20,Arbejdsark!$C$84,"")</f>
        <v/>
      </c>
      <c r="D31" s="46">
        <f>Arbejdsark!D43</f>
        <v>0</v>
      </c>
      <c r="E31" s="45">
        <f>Arbejdsark!I43</f>
        <v>0</v>
      </c>
      <c r="F31" s="45">
        <f>Arbejdsark!J43</f>
        <v>0</v>
      </c>
      <c r="G31" s="45" t="e">
        <f>Arbejdsark!#REF!</f>
        <v>#REF!</v>
      </c>
      <c r="H31" s="45" t="e">
        <f>Arbejdsark!#REF!</f>
        <v>#REF!</v>
      </c>
      <c r="I31" s="45" t="str">
        <f>IF('Sortering af spørgsmål'!$C$11=Projektforudsætninger!$C$20,Arbejdsark!$K$84,"")</f>
        <v/>
      </c>
      <c r="J31" s="37" t="s">
        <v>9</v>
      </c>
      <c r="K31" s="37"/>
      <c r="L31" s="19"/>
      <c r="M31" s="19"/>
      <c r="N31" s="19"/>
      <c r="O31" s="19"/>
      <c r="P31" s="19"/>
      <c r="Q31" s="19"/>
      <c r="R31" s="19"/>
      <c r="S31" s="19"/>
      <c r="T31" s="19"/>
      <c r="U31" s="19"/>
    </row>
    <row r="32" spans="1:21" x14ac:dyDescent="0.45">
      <c r="A32" s="45"/>
      <c r="B32" s="45"/>
      <c r="C32" s="45"/>
      <c r="D32" s="46"/>
      <c r="E32" s="45"/>
      <c r="F32" s="45"/>
      <c r="G32" s="45"/>
      <c r="H32" s="45"/>
      <c r="I32" s="45"/>
      <c r="J32" s="47"/>
      <c r="K32" s="48"/>
      <c r="L32" s="19"/>
      <c r="M32" s="19"/>
      <c r="N32" s="19"/>
      <c r="O32" s="19"/>
      <c r="P32" s="19"/>
      <c r="Q32" s="19"/>
      <c r="R32" s="19"/>
      <c r="S32" s="19"/>
      <c r="T32" s="19"/>
      <c r="U32" s="19"/>
    </row>
    <row r="33" spans="1:30" ht="12.75" customHeight="1" x14ac:dyDescent="0.45">
      <c r="A33" s="36" t="str">
        <f>Arbejdsark!$A$89</f>
        <v>ØKONOMISK  KVALITET</v>
      </c>
      <c r="B33" s="36"/>
      <c r="C33" s="36"/>
      <c r="D33" s="36"/>
      <c r="E33" s="36"/>
      <c r="F33" s="36"/>
      <c r="G33" s="36"/>
      <c r="H33" s="36"/>
      <c r="I33" s="36"/>
      <c r="J33" s="39"/>
      <c r="K33" s="40"/>
      <c r="L33" s="19"/>
      <c r="M33" s="19"/>
      <c r="N33" s="19"/>
      <c r="O33" s="19"/>
      <c r="P33" s="19"/>
      <c r="Q33" s="19"/>
      <c r="R33" s="19"/>
      <c r="S33" s="19"/>
      <c r="T33" s="19"/>
      <c r="U33" s="19"/>
    </row>
    <row r="34" spans="1:30" ht="28.5" customHeight="1" x14ac:dyDescent="0.45">
      <c r="A34" s="45" t="str">
        <f>A4</f>
        <v>Tema</v>
      </c>
      <c r="B34" s="58" t="s">
        <v>179</v>
      </c>
      <c r="C34" s="58" t="str">
        <f t="shared" ref="C34:K34" si="0">C4</f>
        <v>Emne</v>
      </c>
      <c r="D34" s="58" t="str">
        <f t="shared" si="0"/>
        <v>0</v>
      </c>
      <c r="E34" s="58" t="str">
        <f t="shared" si="0"/>
        <v>02</v>
      </c>
      <c r="F34" s="58" t="str">
        <f t="shared" si="0"/>
        <v>03</v>
      </c>
      <c r="G34" s="58" t="str">
        <f t="shared" si="0"/>
        <v>#REFERENCE!</v>
      </c>
      <c r="H34" s="58" t="str">
        <f t="shared" si="0"/>
        <v>04</v>
      </c>
      <c r="I34" s="58" t="str">
        <f t="shared" si="0"/>
        <v>Spørgsmål</v>
      </c>
      <c r="J34" s="59" t="str">
        <f t="shared" si="0"/>
        <v>Svar</v>
      </c>
      <c r="K34" s="60" t="str">
        <f t="shared" si="0"/>
        <v>Uddybende kommentarer</v>
      </c>
      <c r="L34" s="19"/>
      <c r="M34" s="19"/>
      <c r="N34" s="19"/>
      <c r="O34" s="19"/>
      <c r="P34" s="19"/>
      <c r="Q34" s="19"/>
      <c r="R34" s="19"/>
      <c r="S34" s="19"/>
      <c r="T34" s="19"/>
      <c r="U34" s="19"/>
    </row>
    <row r="35" spans="1:30" ht="28.5" customHeight="1" x14ac:dyDescent="0.45">
      <c r="A35" s="36" t="str">
        <f>Arbejdsark!$A$91</f>
        <v>Levetidsomkostninger</v>
      </c>
      <c r="B35" s="36">
        <v>1</v>
      </c>
      <c r="C35" s="36"/>
      <c r="D35" s="36"/>
      <c r="E35" s="36"/>
      <c r="F35" s="36"/>
      <c r="G35" s="36"/>
      <c r="H35" s="36"/>
      <c r="I35" s="36" t="str">
        <f>IF('Sortering af spørgsmål'!$C$12=Projektforudsætninger!$C$20,"Udfyld spørgsmål","Ingen spørgsmål")</f>
        <v>Ingen spørgsmål</v>
      </c>
      <c r="J35" s="39"/>
      <c r="K35" s="40"/>
      <c r="L35" s="19"/>
      <c r="M35" s="19"/>
      <c r="N35" s="19"/>
      <c r="O35" s="19"/>
      <c r="P35" s="19"/>
      <c r="Q35" s="19"/>
      <c r="R35" s="19"/>
      <c r="S35" s="19"/>
      <c r="T35" s="19"/>
      <c r="U35" s="19"/>
    </row>
    <row r="36" spans="1:30" ht="170.25" customHeight="1" x14ac:dyDescent="0.45">
      <c r="A36" s="45" t="str">
        <f>Arbejdsark!$A$91</f>
        <v>Levetidsomkostninger</v>
      </c>
      <c r="B36" s="43" t="str">
        <f>Arbejdsark!$B$91</f>
        <v>1.1</v>
      </c>
      <c r="C36" s="45" t="str">
        <f>IF('Sortering af spørgsmål'!$C$12=Projektforudsætninger!$C$20,Arbejdsark!$C$91,"")</f>
        <v/>
      </c>
      <c r="D36" s="46">
        <f>Arbejdsark!D47</f>
        <v>0</v>
      </c>
      <c r="E36" s="45">
        <f>Arbejdsark!I47</f>
        <v>0</v>
      </c>
      <c r="F36" s="45">
        <f>Arbejdsark!J47</f>
        <v>0</v>
      </c>
      <c r="G36" s="45" t="e">
        <f>Arbejdsark!#REF!</f>
        <v>#REF!</v>
      </c>
      <c r="H36" s="45" t="e">
        <f>Arbejdsark!#REF!</f>
        <v>#REF!</v>
      </c>
      <c r="I36" s="45" t="str">
        <f>IF('Sortering af spørgsmål'!$C$12=Projektforudsætninger!$C$20,Arbejdsark!$K$91,"")</f>
        <v/>
      </c>
      <c r="J36" s="37" t="s">
        <v>9</v>
      </c>
      <c r="K36" s="37"/>
      <c r="L36" s="19"/>
      <c r="M36" s="19"/>
      <c r="N36" s="19"/>
      <c r="O36" s="19"/>
      <c r="P36" s="19"/>
      <c r="Q36" s="19"/>
      <c r="R36" s="19"/>
      <c r="S36" s="19"/>
      <c r="T36" s="19"/>
      <c r="U36" s="19"/>
      <c r="AD36" s="294" t="s">
        <v>24</v>
      </c>
    </row>
    <row r="37" spans="1:30" ht="70.900000000000006" customHeight="1" x14ac:dyDescent="0.45">
      <c r="A37" s="45" t="str">
        <f>Arbejdsark!$A$91</f>
        <v>Levetidsomkostninger</v>
      </c>
      <c r="B37" s="43" t="str">
        <f>Arbejdsark!$B$109</f>
        <v>1.2</v>
      </c>
      <c r="C37" s="45" t="str">
        <f>IF('Sortering af spørgsmål'!$C$12=Projektforudsætninger!$C$20,Arbejdsark!$C$109,"")</f>
        <v/>
      </c>
      <c r="D37" s="46">
        <f>Arbejdsark!D49</f>
        <v>0</v>
      </c>
      <c r="E37" s="45">
        <f>Arbejdsark!I49</f>
        <v>0</v>
      </c>
      <c r="F37" s="45">
        <f>Arbejdsark!J49</f>
        <v>0</v>
      </c>
      <c r="G37" s="45" t="e">
        <f>Arbejdsark!#REF!</f>
        <v>#REF!</v>
      </c>
      <c r="H37" s="45" t="e">
        <f>Arbejdsark!#REF!</f>
        <v>#REF!</v>
      </c>
      <c r="I37" s="45" t="str">
        <f>IF('Sortering af spørgsmål'!$C$12=Projektforudsætninger!$C$20,Arbejdsark!$K$109,"")</f>
        <v/>
      </c>
      <c r="J37" s="37" t="s">
        <v>9</v>
      </c>
      <c r="K37" s="37"/>
      <c r="L37" s="19"/>
      <c r="M37" s="19"/>
      <c r="N37" s="19"/>
      <c r="O37" s="19"/>
      <c r="P37" s="19"/>
      <c r="Q37" s="19"/>
      <c r="R37" s="19"/>
      <c r="S37" s="19"/>
      <c r="T37" s="19"/>
      <c r="U37" s="19"/>
      <c r="AD37" s="294" t="s">
        <v>28</v>
      </c>
    </row>
    <row r="38" spans="1:30" ht="23.25" x14ac:dyDescent="0.45">
      <c r="A38" s="45"/>
      <c r="B38" s="45"/>
      <c r="C38" s="45"/>
      <c r="D38" s="46"/>
      <c r="E38" s="45"/>
      <c r="F38" s="45"/>
      <c r="G38" s="45"/>
      <c r="H38" s="45"/>
      <c r="I38" s="45"/>
      <c r="J38" s="47"/>
      <c r="K38" s="48"/>
      <c r="L38" s="19"/>
      <c r="M38" s="19"/>
      <c r="N38" s="19"/>
      <c r="O38" s="19"/>
      <c r="P38" s="19"/>
      <c r="Q38" s="19"/>
      <c r="R38" s="19"/>
      <c r="S38" s="19"/>
      <c r="T38" s="19"/>
      <c r="U38" s="19"/>
      <c r="AD38" s="294" t="s">
        <v>30</v>
      </c>
    </row>
    <row r="39" spans="1:30" ht="28.5" customHeight="1" x14ac:dyDescent="0.45">
      <c r="A39" s="36" t="str">
        <f>Arbejdsark!$A$114</f>
        <v>Fleksibilitet</v>
      </c>
      <c r="B39" s="36" t="str">
        <f>Arbejdsark!$B$114</f>
        <v>2.1</v>
      </c>
      <c r="C39" s="36"/>
      <c r="D39" s="36"/>
      <c r="E39" s="36"/>
      <c r="F39" s="36"/>
      <c r="G39" s="36"/>
      <c r="H39" s="36"/>
      <c r="I39" s="36" t="str">
        <f>IF('Sortering af spørgsmål'!$C$13=Projektforudsætninger!$C$20,"Udfyld spørgsmål","Ingen spørgsmål")</f>
        <v>Ingen spørgsmål</v>
      </c>
      <c r="J39" s="39"/>
      <c r="K39" s="40"/>
      <c r="L39" s="19"/>
      <c r="M39" s="19"/>
      <c r="N39" s="19"/>
      <c r="O39" s="19"/>
      <c r="P39" s="19"/>
      <c r="Q39" s="19"/>
      <c r="R39" s="19"/>
      <c r="S39" s="19"/>
      <c r="T39" s="19"/>
      <c r="U39" s="19"/>
      <c r="AD39" s="294" t="s">
        <v>31</v>
      </c>
    </row>
    <row r="40" spans="1:30" ht="170.25" customHeight="1" x14ac:dyDescent="0.45">
      <c r="A40" s="45" t="str">
        <f>Arbejdsark!$A$114</f>
        <v>Fleksibilitet</v>
      </c>
      <c r="B40" s="43" t="str">
        <f>Arbejdsark!$B$114</f>
        <v>2.1</v>
      </c>
      <c r="C40" s="45" t="str">
        <f>IF('Sortering af spørgsmål'!$C$13=Projektforudsætninger!$C$20,Arbejdsark!$C$114,"")</f>
        <v/>
      </c>
      <c r="D40" s="46">
        <f>Arbejdsark!D50</f>
        <v>0</v>
      </c>
      <c r="E40" s="45">
        <f>Arbejdsark!I50</f>
        <v>0</v>
      </c>
      <c r="F40" s="45">
        <f>Arbejdsark!J50</f>
        <v>0</v>
      </c>
      <c r="G40" s="45" t="e">
        <f>Arbejdsark!#REF!</f>
        <v>#REF!</v>
      </c>
      <c r="H40" s="45" t="e">
        <f>Arbejdsark!#REF!</f>
        <v>#REF!</v>
      </c>
      <c r="I40" s="45" t="str">
        <f>IF('Sortering af spørgsmål'!$C$13=Projektforudsætninger!$C$20,Arbejdsark!$K$114,"")</f>
        <v/>
      </c>
      <c r="J40" s="37" t="s">
        <v>9</v>
      </c>
      <c r="K40" s="37"/>
      <c r="L40" s="19"/>
      <c r="M40" s="19"/>
      <c r="N40" s="19"/>
      <c r="O40" s="19"/>
      <c r="P40" s="19"/>
      <c r="Q40" s="19"/>
      <c r="R40" s="19"/>
      <c r="S40" s="19"/>
      <c r="T40" s="19"/>
      <c r="U40" s="19"/>
      <c r="AD40" s="294" t="s">
        <v>33</v>
      </c>
    </row>
    <row r="41" spans="1:30" ht="198.4" customHeight="1" x14ac:dyDescent="0.45">
      <c r="A41" s="45" t="str">
        <f>Arbejdsark!$A$114</f>
        <v>Fleksibilitet</v>
      </c>
      <c r="B41" s="43" t="str">
        <f>Arbejdsark!$B$119</f>
        <v>2.2</v>
      </c>
      <c r="C41" s="45" t="str">
        <f>IF('Sortering af spørgsmål'!$C$13=Projektforudsætninger!$C$20,Arbejdsark!$C$119,"")</f>
        <v/>
      </c>
      <c r="D41" s="46" t="str">
        <f>Arbejdsark!D51</f>
        <v>ENV2.3 + SOC1.6
Vægtning: ENV2.3 pkt. 2.2 + SOC1.6 pkt. 2.3</v>
      </c>
      <c r="E41" s="45" t="str">
        <f>Arbejdsark!I51</f>
        <v>x</v>
      </c>
      <c r="F41" s="45">
        <f>Arbejdsark!J51</f>
        <v>0</v>
      </c>
      <c r="G41" s="45" t="e">
        <f>Arbejdsark!#REF!</f>
        <v>#REF!</v>
      </c>
      <c r="H41" s="45" t="e">
        <f>Arbejdsark!#REF!</f>
        <v>#REF!</v>
      </c>
      <c r="I41" s="45" t="str">
        <f>IF('Sortering af spørgsmål'!$C$13=Projektforudsætninger!$C$20,Arbejdsark!$K$119,"")</f>
        <v/>
      </c>
      <c r="J41" s="37" t="s">
        <v>9</v>
      </c>
      <c r="K41" s="37"/>
      <c r="L41" s="19"/>
      <c r="M41" s="19"/>
      <c r="N41" s="19"/>
      <c r="O41" s="19"/>
      <c r="P41" s="19"/>
      <c r="Q41" s="19"/>
      <c r="R41" s="19"/>
      <c r="S41" s="19"/>
      <c r="T41" s="19"/>
      <c r="U41" s="19"/>
      <c r="AD41" s="294" t="s">
        <v>39</v>
      </c>
    </row>
    <row r="42" spans="1:30" ht="198.4" customHeight="1" x14ac:dyDescent="0.45">
      <c r="A42" s="45" t="str">
        <f>Arbejdsark!$A$114</f>
        <v>Fleksibilitet</v>
      </c>
      <c r="B42" s="43" t="str">
        <f>Arbejdsark!$B$124</f>
        <v>2.3</v>
      </c>
      <c r="C42" s="45" t="str">
        <f>IF('Sortering af spørgsmål'!$C$13=Projektforudsætninger!$C$20,Arbejdsark!$C$124,"")</f>
        <v/>
      </c>
      <c r="D42" s="46">
        <f>Arbejdsark!D52</f>
        <v>0</v>
      </c>
      <c r="E42" s="45">
        <f>Arbejdsark!I52</f>
        <v>0</v>
      </c>
      <c r="F42" s="45">
        <f>Arbejdsark!J52</f>
        <v>0</v>
      </c>
      <c r="G42" s="45" t="e">
        <f>Arbejdsark!#REF!</f>
        <v>#REF!</v>
      </c>
      <c r="H42" s="45" t="e">
        <f>Arbejdsark!#REF!</f>
        <v>#REF!</v>
      </c>
      <c r="I42" s="45" t="str">
        <f>IF('Sortering af spørgsmål'!$C$13=Projektforudsætninger!$C$20,Arbejdsark!$K$124,"")</f>
        <v/>
      </c>
      <c r="J42" s="37" t="s">
        <v>9</v>
      </c>
      <c r="K42" s="37"/>
      <c r="L42" s="19"/>
      <c r="M42" s="19"/>
      <c r="N42" s="19"/>
      <c r="O42" s="19"/>
      <c r="P42" s="19"/>
      <c r="Q42" s="19"/>
      <c r="R42" s="19"/>
      <c r="S42" s="19"/>
      <c r="T42" s="19"/>
      <c r="U42" s="19"/>
      <c r="AD42" s="294" t="s">
        <v>45</v>
      </c>
    </row>
    <row r="43" spans="1:30" ht="238.5" customHeight="1" x14ac:dyDescent="0.45">
      <c r="A43" s="45" t="str">
        <f>Arbejdsark!$A$114</f>
        <v>Fleksibilitet</v>
      </c>
      <c r="B43" s="43" t="str">
        <f>Arbejdsark!$B$129</f>
        <v>2.4</v>
      </c>
      <c r="C43" s="45" t="str">
        <f>IF('Sortering af spørgsmål'!$C$13=Projektforudsætninger!$C$20,Arbejdsark!$C$129,"")</f>
        <v/>
      </c>
      <c r="D43" s="46">
        <f>Arbejdsark!D53</f>
        <v>0</v>
      </c>
      <c r="E43" s="45">
        <f>Arbejdsark!I53</f>
        <v>0</v>
      </c>
      <c r="F43" s="45">
        <f>Arbejdsark!J53</f>
        <v>0</v>
      </c>
      <c r="G43" s="45" t="e">
        <f>Arbejdsark!#REF!</f>
        <v>#REF!</v>
      </c>
      <c r="H43" s="45" t="e">
        <f>Arbejdsark!#REF!</f>
        <v>#REF!</v>
      </c>
      <c r="I43" s="45" t="str">
        <f>IF('Sortering af spørgsmål'!$C$13=Projektforudsætninger!$C$20,Arbejdsark!$K$129,"")</f>
        <v/>
      </c>
      <c r="J43" s="37" t="s">
        <v>9</v>
      </c>
      <c r="K43" s="37"/>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spørgsmål'!$C$13=Projektforudsætninger!$C$20,Arbejdsark!$C$134,"")</f>
        <v/>
      </c>
      <c r="D44" s="46">
        <f>Arbejdsark!D54</f>
        <v>0</v>
      </c>
      <c r="E44" s="45">
        <f>Arbejdsark!I54</f>
        <v>0</v>
      </c>
      <c r="F44" s="45">
        <f>Arbejdsark!J54</f>
        <v>0</v>
      </c>
      <c r="G44" s="45" t="e">
        <f>Arbejdsark!#REF!</f>
        <v>#REF!</v>
      </c>
      <c r="H44" s="45" t="e">
        <f>Arbejdsark!#REF!</f>
        <v>#REF!</v>
      </c>
      <c r="I44" s="45" t="str">
        <f>IF('Sortering af spørgsmål'!$C$13=Projektforudsætninger!$C$20,Arbejdsark!$K$134,"")</f>
        <v/>
      </c>
      <c r="J44" s="37" t="s">
        <v>9</v>
      </c>
      <c r="K44" s="37"/>
      <c r="L44" s="19"/>
      <c r="M44" s="19"/>
      <c r="N44" s="19"/>
      <c r="O44" s="19"/>
      <c r="P44" s="19"/>
      <c r="Q44" s="19"/>
      <c r="R44" s="19"/>
      <c r="S44" s="19"/>
      <c r="T44" s="19"/>
      <c r="U44" s="19"/>
    </row>
    <row r="45" spans="1:30" ht="170.25" customHeight="1" x14ac:dyDescent="0.45">
      <c r="A45" s="45" t="str">
        <f>Arbejdsark!$A$114</f>
        <v>Fleksibilitet</v>
      </c>
      <c r="B45" s="43" t="str">
        <f>Arbejdsark!$B$139</f>
        <v>2.6</v>
      </c>
      <c r="C45" s="45" t="str">
        <f>IF('Sortering af spørgsmål'!$C$13=Projektforudsætninger!$C$20,Arbejdsark!$C$139,"")</f>
        <v/>
      </c>
      <c r="D45" s="46">
        <f>Arbejdsark!D55</f>
        <v>0</v>
      </c>
      <c r="E45" s="45">
        <f>Arbejdsark!I55</f>
        <v>0</v>
      </c>
      <c r="F45" s="45">
        <f>Arbejdsark!J55</f>
        <v>0</v>
      </c>
      <c r="G45" s="45" t="e">
        <f>Arbejdsark!#REF!</f>
        <v>#REF!</v>
      </c>
      <c r="H45" s="45" t="e">
        <f>Arbejdsark!#REF!</f>
        <v>#REF!</v>
      </c>
      <c r="I45" s="45" t="str">
        <f>IF('Sortering af spørgsmål'!$C$13=Projektforudsætninger!$C$20,Arbejdsark!$K$139,"")</f>
        <v/>
      </c>
      <c r="J45" s="37" t="s">
        <v>9</v>
      </c>
      <c r="K45" s="37"/>
      <c r="L45" s="19"/>
      <c r="M45" s="19"/>
      <c r="N45" s="19"/>
      <c r="O45" s="19"/>
      <c r="P45" s="19"/>
      <c r="Q45" s="19"/>
      <c r="R45" s="19"/>
      <c r="S45" s="19"/>
      <c r="T45" s="19"/>
      <c r="U45" s="19"/>
    </row>
    <row r="46" spans="1:30" ht="177.75" customHeight="1" x14ac:dyDescent="0.45">
      <c r="A46" s="45" t="str">
        <f>Arbejdsark!$A$114</f>
        <v>Fleksibilitet</v>
      </c>
      <c r="B46" s="43" t="str">
        <f>Arbejdsark!$B$144</f>
        <v>2.7</v>
      </c>
      <c r="C46" s="45" t="str">
        <f>IF('Sortering af spørgsmål'!$C$13=Projektforudsætninger!$C$20,Arbejdsark!$C$144,"")</f>
        <v/>
      </c>
      <c r="D46" s="46"/>
      <c r="E46" s="45"/>
      <c r="F46" s="45"/>
      <c r="G46" s="45"/>
      <c r="H46" s="45"/>
      <c r="I46" s="45" t="str">
        <f>IF('Sortering af spørgsmål'!$C$13=Projektforudsætninger!$C$20,Arbejdsark!$K$144,"")</f>
        <v/>
      </c>
      <c r="J46" s="37" t="s">
        <v>9</v>
      </c>
      <c r="K46" s="37"/>
      <c r="L46" s="19"/>
      <c r="M46" s="19"/>
      <c r="N46" s="19"/>
      <c r="O46" s="19"/>
      <c r="P46" s="19"/>
      <c r="Q46" s="19"/>
      <c r="R46" s="19"/>
      <c r="S46" s="19"/>
      <c r="T46" s="19"/>
      <c r="U46" s="19"/>
    </row>
    <row r="47" spans="1:30" ht="170.25" customHeight="1" x14ac:dyDescent="0.45">
      <c r="A47" s="45" t="str">
        <f>Arbejdsark!$A$114</f>
        <v>Fleksibilitet</v>
      </c>
      <c r="B47" s="43" t="str">
        <f>Arbejdsark!$B$149</f>
        <v>2.8</v>
      </c>
      <c r="C47" s="45" t="str">
        <f>IF('Sortering af spørgsmål'!$C$13=Projektforudsætninger!$C$20,Arbejdsark!$C$149,"")</f>
        <v/>
      </c>
      <c r="D47" s="46">
        <f>Arbejdsark!D56</f>
        <v>0</v>
      </c>
      <c r="E47" s="45">
        <f>Arbejdsark!I56</f>
        <v>0</v>
      </c>
      <c r="F47" s="45">
        <f>Arbejdsark!J56</f>
        <v>0</v>
      </c>
      <c r="G47" s="45" t="e">
        <f>Arbejdsark!#REF!</f>
        <v>#REF!</v>
      </c>
      <c r="H47" s="45" t="e">
        <f>Arbejdsark!#REF!</f>
        <v>#REF!</v>
      </c>
      <c r="I47" s="45" t="str">
        <f>IF('Sortering af spørgsmål'!$C$13=Projektforudsætninger!$C$20,Arbejdsark!$K$149,"")</f>
        <v/>
      </c>
      <c r="J47" s="37" t="s">
        <v>9</v>
      </c>
      <c r="K47" s="37"/>
      <c r="L47" s="19"/>
      <c r="M47" s="19"/>
      <c r="N47" s="19"/>
      <c r="O47" s="19"/>
      <c r="P47" s="19"/>
      <c r="Q47" s="19"/>
      <c r="R47" s="19"/>
      <c r="S47" s="19"/>
      <c r="T47" s="19"/>
      <c r="U47" s="19"/>
    </row>
    <row r="48" spans="1:30" x14ac:dyDescent="0.45">
      <c r="A48" s="45"/>
      <c r="B48" s="45"/>
      <c r="C48" s="45"/>
      <c r="D48" s="46"/>
      <c r="E48" s="45"/>
      <c r="F48" s="45"/>
      <c r="G48" s="45"/>
      <c r="H48" s="45"/>
      <c r="I48" s="45"/>
      <c r="J48" s="47"/>
      <c r="K48" s="48"/>
      <c r="L48" s="19"/>
      <c r="M48" s="19"/>
      <c r="N48" s="19"/>
      <c r="O48" s="19"/>
      <c r="P48" s="19"/>
      <c r="Q48" s="19"/>
      <c r="R48" s="19"/>
      <c r="S48" s="19"/>
      <c r="T48" s="19"/>
      <c r="U48" s="19"/>
    </row>
    <row r="49" spans="1:21" ht="28.5" customHeight="1" x14ac:dyDescent="0.45">
      <c r="A49" s="36" t="str">
        <f>Arbejdsark!A154</f>
        <v>Robusthed</v>
      </c>
      <c r="B49" s="36">
        <v>3</v>
      </c>
      <c r="C49" s="36"/>
      <c r="D49" s="36"/>
      <c r="E49" s="36"/>
      <c r="F49" s="36"/>
      <c r="G49" s="36"/>
      <c r="H49" s="36"/>
      <c r="I49" s="36" t="str">
        <f>IF('Sortering af spørgsmål'!$C$14=Projektforudsætninger!$C$20,"Udfyld spørgsmål","Ingen spørgsmål")</f>
        <v>Ingen spørgsmål</v>
      </c>
      <c r="J49" s="36"/>
      <c r="K49" s="36"/>
      <c r="L49" s="19"/>
      <c r="M49" s="19"/>
      <c r="N49" s="19"/>
      <c r="O49" s="19"/>
      <c r="P49" s="19"/>
      <c r="Q49" s="19"/>
      <c r="R49" s="19"/>
      <c r="S49" s="19"/>
      <c r="T49" s="19"/>
      <c r="U49" s="19"/>
    </row>
    <row r="50" spans="1:21" ht="85.15" customHeight="1" x14ac:dyDescent="0.45">
      <c r="A50" s="45" t="str">
        <f>Arbejdsark!A154</f>
        <v>Robusthed</v>
      </c>
      <c r="B50" s="43" t="str">
        <f>Arbejdsark!$B$154</f>
        <v>3.1</v>
      </c>
      <c r="C50" s="45" t="str">
        <f>IF('Sortering af spørgsmål'!$C$14=Projektforudsætninger!$C$20,Arbejdsark!$C$154,"")</f>
        <v/>
      </c>
      <c r="D50" s="46" t="str">
        <f>Arbejdsark!D58</f>
        <v>Vægtning: SOC1.6 pkt. 2.4</v>
      </c>
      <c r="E50" s="45" t="str">
        <f>Arbejdsark!I58</f>
        <v>x</v>
      </c>
      <c r="F50" s="45">
        <f>Arbejdsark!J58</f>
        <v>0</v>
      </c>
      <c r="G50" s="45" t="e">
        <f>Arbejdsark!#REF!</f>
        <v>#REF!</v>
      </c>
      <c r="H50" s="45" t="e">
        <f>Arbejdsark!#REF!</f>
        <v>#REF!</v>
      </c>
      <c r="I50" s="45" t="str">
        <f>IF('Sortering af spørgsmål'!$C$14=Projektforudsætninger!$C$20,Arbejdsark!$K$154,"")</f>
        <v/>
      </c>
      <c r="J50" s="37" t="s">
        <v>9</v>
      </c>
      <c r="K50" s="37"/>
      <c r="L50" s="19"/>
      <c r="M50" s="19"/>
      <c r="N50" s="19"/>
      <c r="O50" s="19"/>
      <c r="P50" s="19"/>
      <c r="Q50" s="19"/>
      <c r="R50" s="19"/>
      <c r="S50" s="19"/>
      <c r="T50" s="19"/>
      <c r="U50" s="19"/>
    </row>
    <row r="51" spans="1:21" ht="85.15" customHeight="1" x14ac:dyDescent="0.45">
      <c r="A51" s="45" t="str">
        <f>Arbejdsark!A154</f>
        <v>Robusthed</v>
      </c>
      <c r="B51" s="43" t="str">
        <f>Arbejdsark!$B$159</f>
        <v>3.2</v>
      </c>
      <c r="C51" s="45" t="str">
        <f>IF('Sortering af spørgsmål'!$C$14=Projektforudsætninger!$C$20,Arbejdsark!$C$159,"")</f>
        <v/>
      </c>
      <c r="D51" s="46">
        <f>Arbejdsark!D62</f>
        <v>0</v>
      </c>
      <c r="E51" s="45">
        <f>Arbejdsark!I62</f>
        <v>0</v>
      </c>
      <c r="F51" s="45">
        <f>Arbejdsark!J62</f>
        <v>0</v>
      </c>
      <c r="G51" s="45" t="e">
        <f>Arbejdsark!#REF!</f>
        <v>#REF!</v>
      </c>
      <c r="H51" s="45" t="e">
        <f>Arbejdsark!#REF!</f>
        <v>#REF!</v>
      </c>
      <c r="I51" s="45" t="str">
        <f>IF('Sortering af spørgsmål'!$C$14=Projektforudsætninger!$C$20,Arbejdsark!$K$159,"")</f>
        <v/>
      </c>
      <c r="J51" s="37" t="s">
        <v>9</v>
      </c>
      <c r="K51" s="37"/>
      <c r="L51" s="19"/>
      <c r="M51" s="19"/>
      <c r="N51" s="19"/>
      <c r="O51" s="19"/>
      <c r="P51" s="19"/>
      <c r="Q51" s="19"/>
      <c r="R51" s="19"/>
      <c r="S51" s="19"/>
      <c r="T51" s="19"/>
      <c r="U51" s="19"/>
    </row>
    <row r="52" spans="1:21" x14ac:dyDescent="0.45">
      <c r="A52" s="45"/>
      <c r="B52" s="45"/>
      <c r="C52" s="45"/>
      <c r="D52" s="46"/>
      <c r="E52" s="45"/>
      <c r="F52" s="45"/>
      <c r="G52" s="45"/>
      <c r="H52" s="45"/>
      <c r="I52" s="45"/>
      <c r="J52" s="47"/>
      <c r="K52" s="48"/>
      <c r="L52" s="19"/>
      <c r="M52" s="19"/>
      <c r="N52" s="19"/>
      <c r="O52" s="19"/>
      <c r="P52" s="19"/>
      <c r="Q52" s="19"/>
      <c r="R52" s="19"/>
      <c r="S52" s="19"/>
      <c r="T52" s="19"/>
      <c r="U52" s="19"/>
    </row>
    <row r="53" spans="1:21" x14ac:dyDescent="0.45">
      <c r="A53" s="56" t="str">
        <f>Arbejdsark!$A$165</f>
        <v>SOCIAL KVALITET</v>
      </c>
      <c r="B53" s="56"/>
      <c r="C53" s="56"/>
      <c r="D53" s="56"/>
      <c r="E53" s="56"/>
      <c r="F53" s="56"/>
      <c r="G53" s="56"/>
      <c r="H53" s="56"/>
      <c r="I53" s="56"/>
      <c r="J53" s="56"/>
      <c r="K53" s="56"/>
      <c r="L53" s="19"/>
      <c r="M53" s="19"/>
      <c r="N53" s="19"/>
      <c r="O53" s="19"/>
      <c r="P53" s="19"/>
      <c r="Q53" s="19"/>
      <c r="R53" s="19"/>
      <c r="S53" s="19"/>
      <c r="T53" s="19"/>
      <c r="U53" s="19"/>
    </row>
    <row r="54" spans="1:21" ht="28.5" customHeight="1" x14ac:dyDescent="0.45">
      <c r="A54" s="45" t="str">
        <f>A4</f>
        <v>Tema</v>
      </c>
      <c r="B54" s="58" t="s">
        <v>179</v>
      </c>
      <c r="C54" s="58" t="str">
        <f t="shared" ref="C54:K54" si="1">C4</f>
        <v>Emne</v>
      </c>
      <c r="D54" s="58" t="str">
        <f t="shared" si="1"/>
        <v>0</v>
      </c>
      <c r="E54" s="58" t="str">
        <f t="shared" si="1"/>
        <v>02</v>
      </c>
      <c r="F54" s="58" t="str">
        <f t="shared" si="1"/>
        <v>03</v>
      </c>
      <c r="G54" s="58" t="str">
        <f t="shared" si="1"/>
        <v>#REFERENCE!</v>
      </c>
      <c r="H54" s="58" t="str">
        <f t="shared" si="1"/>
        <v>04</v>
      </c>
      <c r="I54" s="58" t="str">
        <f t="shared" si="1"/>
        <v>Spørgsmål</v>
      </c>
      <c r="J54" s="59" t="str">
        <f t="shared" si="1"/>
        <v>Svar</v>
      </c>
      <c r="K54" s="60" t="str">
        <f t="shared" si="1"/>
        <v>Uddybende kommentarer</v>
      </c>
      <c r="L54" s="135"/>
      <c r="M54" s="135"/>
      <c r="N54" s="135"/>
      <c r="O54" s="135"/>
      <c r="P54" s="135"/>
      <c r="Q54" s="135"/>
      <c r="R54" s="135"/>
      <c r="S54" s="135"/>
      <c r="T54" s="135"/>
      <c r="U54" s="135"/>
    </row>
    <row r="55" spans="1:21" ht="28.5" customHeight="1" x14ac:dyDescent="0.45">
      <c r="A55" s="56" t="str">
        <f>Arbejdsark!$A$167</f>
        <v>Indeklima</v>
      </c>
      <c r="B55" s="56">
        <v>1</v>
      </c>
      <c r="C55" s="56"/>
      <c r="D55" s="56"/>
      <c r="E55" s="56"/>
      <c r="F55" s="56"/>
      <c r="G55" s="56"/>
      <c r="H55" s="56"/>
      <c r="I55" s="56" t="str">
        <f>IF('Sortering af spørgsmål'!$C$15=Projektforudsætninger!$C$20,"Udfyld spørgsmål","Ingen spørgsmål")</f>
        <v>Ingen spørgsmål</v>
      </c>
      <c r="J55" s="56"/>
      <c r="K55" s="56"/>
      <c r="L55" s="19"/>
      <c r="M55" s="19"/>
      <c r="N55" s="19"/>
      <c r="O55" s="19"/>
      <c r="P55" s="19"/>
      <c r="Q55" s="19"/>
      <c r="R55" s="19"/>
      <c r="S55" s="19"/>
      <c r="T55" s="19"/>
      <c r="U55" s="19"/>
    </row>
    <row r="56" spans="1:21" ht="170.25" customHeight="1" x14ac:dyDescent="0.45">
      <c r="A56" s="45" t="str">
        <f>Arbejdsark!$A$167</f>
        <v>Indeklima</v>
      </c>
      <c r="B56" s="43" t="str">
        <f>Arbejdsark!$B$167</f>
        <v>1.1</v>
      </c>
      <c r="C56" s="45" t="str">
        <f>IF('Sortering af spørgsmål'!$C$15=Projektforudsætninger!$C$20,Arbejdsark!$C$167,"")</f>
        <v/>
      </c>
      <c r="D56" s="46">
        <f>Arbejdsark!D69</f>
        <v>0</v>
      </c>
      <c r="E56" s="45">
        <f>Arbejdsark!I69</f>
        <v>0</v>
      </c>
      <c r="F56" s="45">
        <f>Arbejdsark!J69</f>
        <v>0</v>
      </c>
      <c r="G56" s="45" t="e">
        <f>Arbejdsark!#REF!</f>
        <v>#REF!</v>
      </c>
      <c r="H56" s="45" t="e">
        <f>Arbejdsark!#REF!</f>
        <v>#REF!</v>
      </c>
      <c r="I56" s="45" t="str">
        <f>IF('Sortering af spørgsmål'!$C$15=Projektforudsætninger!$C$20,Arbejdsark!$K$167,"")</f>
        <v/>
      </c>
      <c r="J56" s="37" t="s">
        <v>9</v>
      </c>
      <c r="K56" s="37"/>
      <c r="L56" s="19"/>
      <c r="M56" s="19"/>
      <c r="N56" s="19"/>
      <c r="O56" s="19"/>
      <c r="P56" s="19"/>
      <c r="Q56" s="19"/>
      <c r="R56" s="19"/>
      <c r="S56" s="19"/>
      <c r="T56" s="19"/>
      <c r="U56" s="19"/>
    </row>
    <row r="57" spans="1:21" ht="141.75" customHeight="1" x14ac:dyDescent="0.45">
      <c r="A57" s="45" t="str">
        <f>Arbejdsark!$A$167</f>
        <v>Indeklima</v>
      </c>
      <c r="B57" s="43" t="str">
        <f>Arbejdsark!$B$172</f>
        <v>1.2</v>
      </c>
      <c r="C57" s="45" t="str">
        <f>IF('Sortering af spørgsmål'!$C$15=Projektforudsætninger!$C$20,Arbejdsark!$C$172,"")</f>
        <v/>
      </c>
      <c r="D57" s="46">
        <f>Arbejdsark!D70</f>
        <v>0</v>
      </c>
      <c r="E57" s="45">
        <f>Arbejdsark!I70</f>
        <v>0</v>
      </c>
      <c r="F57" s="45">
        <f>Arbejdsark!J70</f>
        <v>0</v>
      </c>
      <c r="G57" s="45" t="e">
        <f>Arbejdsark!#REF!</f>
        <v>#REF!</v>
      </c>
      <c r="H57" s="45" t="e">
        <f>Arbejdsark!#REF!</f>
        <v>#REF!</v>
      </c>
      <c r="I57" s="45" t="str">
        <f>IF('Sortering af spørgsmål'!$C$15=Projektforudsætninger!$C$20,Arbejdsark!$K$172,"")</f>
        <v/>
      </c>
      <c r="J57" s="37" t="s">
        <v>9</v>
      </c>
      <c r="K57" s="37"/>
      <c r="L57" s="19"/>
      <c r="M57" s="19"/>
      <c r="N57" s="19"/>
      <c r="O57" s="19"/>
      <c r="P57" s="19"/>
      <c r="Q57" s="19"/>
      <c r="R57" s="19"/>
      <c r="S57" s="19"/>
      <c r="T57" s="19"/>
      <c r="U57" s="19"/>
    </row>
    <row r="58" spans="1:21" ht="141.75" customHeight="1" x14ac:dyDescent="0.45">
      <c r="A58" s="45" t="str">
        <f>Arbejdsark!$A$167</f>
        <v>Indeklima</v>
      </c>
      <c r="B58" s="43" t="str">
        <f>Arbejdsark!$B$177</f>
        <v>1.3</v>
      </c>
      <c r="C58" s="45" t="str">
        <f>IF('Sortering af spørgsmål'!$C$15=Projektforudsætninger!$C$20,Arbejdsark!$C$177,"")</f>
        <v/>
      </c>
      <c r="D58" s="46">
        <f>Arbejdsark!D72</f>
        <v>0</v>
      </c>
      <c r="E58" s="45">
        <f>Arbejdsark!I72</f>
        <v>0</v>
      </c>
      <c r="F58" s="45">
        <f>Arbejdsark!J72</f>
        <v>0</v>
      </c>
      <c r="G58" s="45" t="e">
        <f>Arbejdsark!#REF!</f>
        <v>#REF!</v>
      </c>
      <c r="H58" s="45" t="e">
        <f>Arbejdsark!#REF!</f>
        <v>#REF!</v>
      </c>
      <c r="I58" s="45" t="str">
        <f>IF('Sortering af spørgsmål'!$C$15=Projektforudsætninger!$C$20,Arbejdsark!$K$177,"")</f>
        <v/>
      </c>
      <c r="J58" s="37" t="s">
        <v>9</v>
      </c>
      <c r="K58" s="37"/>
      <c r="L58" s="19"/>
      <c r="M58" s="19"/>
      <c r="N58" s="19"/>
      <c r="O58" s="19"/>
      <c r="P58" s="19"/>
      <c r="Q58" s="19"/>
      <c r="R58" s="19"/>
      <c r="S58" s="19"/>
      <c r="T58" s="19"/>
      <c r="U58" s="19"/>
    </row>
    <row r="59" spans="1:21" ht="141.75" customHeight="1" x14ac:dyDescent="0.45">
      <c r="A59" s="45" t="str">
        <f>Arbejdsark!$A$167</f>
        <v>Indeklima</v>
      </c>
      <c r="B59" s="43" t="str">
        <f>Arbejdsark!$B$182</f>
        <v>1.4</v>
      </c>
      <c r="C59" s="45" t="str">
        <f>IF('Sortering af spørgsmål'!$C$15=Projektforudsætninger!$C$20,Arbejdsark!$C$182,"")</f>
        <v/>
      </c>
      <c r="D59" s="46">
        <f>Arbejdsark!D70</f>
        <v>0</v>
      </c>
      <c r="E59" s="45">
        <f>Arbejdsark!I70</f>
        <v>0</v>
      </c>
      <c r="F59" s="45">
        <f>Arbejdsark!J70</f>
        <v>0</v>
      </c>
      <c r="G59" s="45" t="e">
        <f>Arbejdsark!#REF!</f>
        <v>#REF!</v>
      </c>
      <c r="H59" s="45" t="e">
        <f>Arbejdsark!#REF!</f>
        <v>#REF!</v>
      </c>
      <c r="I59" s="45" t="str">
        <f>IF('Sortering af spørgsmål'!$C$15=Projektforudsætninger!$C$20,Arbejdsark!$K$182,"")</f>
        <v/>
      </c>
      <c r="J59" s="37" t="s">
        <v>9</v>
      </c>
      <c r="K59" s="37"/>
      <c r="L59" s="19"/>
      <c r="M59" s="19"/>
      <c r="N59" s="19"/>
      <c r="O59" s="19"/>
      <c r="P59" s="19"/>
      <c r="Q59" s="19"/>
      <c r="R59" s="19"/>
      <c r="S59" s="19"/>
      <c r="T59" s="19"/>
      <c r="U59" s="19"/>
    </row>
    <row r="60" spans="1:21" ht="186" customHeight="1" x14ac:dyDescent="0.45">
      <c r="A60" s="45" t="str">
        <f>Arbejdsark!$A$167</f>
        <v>Indeklima</v>
      </c>
      <c r="B60" s="43" t="str">
        <f>Arbejdsark!$B$187</f>
        <v>1.5</v>
      </c>
      <c r="C60" s="45" t="str">
        <f>IF('Sortering af spørgsmål'!$C$15=Projektforudsætninger!$C$20,Arbejdsark!$C$187,"")</f>
        <v/>
      </c>
      <c r="D60" s="46">
        <f>Arbejdsark!D72</f>
        <v>0</v>
      </c>
      <c r="E60" s="45">
        <f>Arbejdsark!I72</f>
        <v>0</v>
      </c>
      <c r="F60" s="45">
        <f>Arbejdsark!J72</f>
        <v>0</v>
      </c>
      <c r="G60" s="45" t="e">
        <f>Arbejdsark!#REF!</f>
        <v>#REF!</v>
      </c>
      <c r="H60" s="45" t="e">
        <f>Arbejdsark!#REF!</f>
        <v>#REF!</v>
      </c>
      <c r="I60" s="45" t="str">
        <f>IF('Sortering af spørgsmål'!$C$15=Projektforudsætninger!$C$20,Arbejdsark!$K$187,"")</f>
        <v/>
      </c>
      <c r="J60" s="37" t="s">
        <v>9</v>
      </c>
      <c r="K60" s="37"/>
      <c r="L60" s="19"/>
      <c r="M60" s="19"/>
      <c r="N60" s="19"/>
      <c r="O60" s="19"/>
      <c r="P60" s="19"/>
      <c r="Q60" s="19"/>
      <c r="R60" s="19"/>
      <c r="S60" s="19"/>
      <c r="T60" s="19"/>
      <c r="U60" s="19"/>
    </row>
    <row r="61" spans="1:21" ht="99.4" customHeight="1" x14ac:dyDescent="0.45">
      <c r="A61" s="45" t="str">
        <f>Arbejdsark!$A$167</f>
        <v>Indeklima</v>
      </c>
      <c r="B61" s="43" t="str">
        <f>Arbejdsark!$B$192</f>
        <v>1.6</v>
      </c>
      <c r="C61" s="45" t="str">
        <f>IF('Sortering af spørgsmål'!$C$15=Projektforudsætninger!$C$20,Arbejdsark!$C$192,"")</f>
        <v/>
      </c>
      <c r="D61" s="46"/>
      <c r="E61" s="45"/>
      <c r="F61" s="45"/>
      <c r="G61" s="45"/>
      <c r="H61" s="45"/>
      <c r="I61" s="45" t="str">
        <f>IF('Sortering af spørgsmål'!$C$15=Projektforudsætninger!$C$20,Arbejdsark!$K$192,"")</f>
        <v/>
      </c>
      <c r="J61" s="37" t="s">
        <v>9</v>
      </c>
      <c r="K61" s="37"/>
      <c r="L61" s="19"/>
      <c r="M61" s="19"/>
      <c r="N61" s="19"/>
      <c r="O61" s="19"/>
      <c r="P61" s="19"/>
      <c r="Q61" s="19"/>
      <c r="R61" s="19"/>
      <c r="S61" s="19"/>
      <c r="T61" s="19"/>
      <c r="U61" s="19"/>
    </row>
    <row r="62" spans="1:21" ht="141.75" customHeight="1" x14ac:dyDescent="0.45">
      <c r="A62" s="45" t="str">
        <f>Arbejdsark!$A$167</f>
        <v>Indeklima</v>
      </c>
      <c r="B62" s="43" t="str">
        <f>Arbejdsark!$B$197</f>
        <v>1.7</v>
      </c>
      <c r="C62" s="45" t="str">
        <f>IF('Sortering af spørgsmål'!$C$15=Projektforudsætninger!$C$20,Arbejdsark!$C$197,"")</f>
        <v/>
      </c>
      <c r="D62" s="46" t="str">
        <f>Arbejdsark!D73</f>
        <v>ENV2.3
Vægtning: ENV2.3 pkt. 1.2</v>
      </c>
      <c r="E62" s="45" t="str">
        <f>Arbejdsark!I73</f>
        <v>x</v>
      </c>
      <c r="F62" s="45">
        <f>Arbejdsark!J73</f>
        <v>0</v>
      </c>
      <c r="G62" s="45" t="e">
        <f>Arbejdsark!#REF!</f>
        <v>#REF!</v>
      </c>
      <c r="H62" s="45" t="e">
        <f>Arbejdsark!#REF!</f>
        <v>#REF!</v>
      </c>
      <c r="I62" s="45" t="str">
        <f>IF('Sortering af spørgsmål'!$C$15=Projektforudsætninger!$C$20,Arbejdsark!$K$197,"")</f>
        <v/>
      </c>
      <c r="J62" s="37" t="s">
        <v>9</v>
      </c>
      <c r="K62" s="37"/>
      <c r="L62" s="19"/>
      <c r="M62" s="19"/>
      <c r="N62" s="19"/>
      <c r="O62" s="19"/>
      <c r="P62" s="19"/>
      <c r="Q62" s="19"/>
      <c r="R62" s="19"/>
      <c r="S62" s="19"/>
      <c r="T62" s="19"/>
      <c r="U62" s="19"/>
    </row>
    <row r="63" spans="1:21" ht="141.75" customHeight="1" x14ac:dyDescent="0.45">
      <c r="A63" s="45" t="str">
        <f>Arbejdsark!$A$167</f>
        <v>Indeklima</v>
      </c>
      <c r="B63" s="43" t="str">
        <f>Arbejdsark!$B$202</f>
        <v>1.8</v>
      </c>
      <c r="C63" s="45" t="str">
        <f>IF('Sortering af spørgsmål'!$C$15=Projektforudsætninger!$C$20,Arbejdsark!$C$202,"")</f>
        <v/>
      </c>
      <c r="D63" s="46">
        <f>Arbejdsark!D74</f>
        <v>0</v>
      </c>
      <c r="E63" s="45">
        <f>Arbejdsark!I74</f>
        <v>0</v>
      </c>
      <c r="F63" s="45">
        <f>Arbejdsark!J74</f>
        <v>0</v>
      </c>
      <c r="G63" s="45" t="e">
        <f>Arbejdsark!#REF!</f>
        <v>#REF!</v>
      </c>
      <c r="H63" s="45" t="e">
        <f>Arbejdsark!#REF!</f>
        <v>#REF!</v>
      </c>
      <c r="I63" s="45" t="str">
        <f>IF('Sortering af spørgsmål'!$C$15=Projektforudsætninger!$C$20,Arbejdsark!$K$202,"")</f>
        <v/>
      </c>
      <c r="J63" s="37" t="s">
        <v>9</v>
      </c>
      <c r="K63" s="37"/>
      <c r="L63" s="19"/>
      <c r="M63" s="19"/>
      <c r="N63" s="19"/>
      <c r="O63" s="19"/>
      <c r="P63" s="19"/>
      <c r="Q63" s="19"/>
      <c r="R63" s="19"/>
      <c r="S63" s="19"/>
      <c r="T63" s="19"/>
      <c r="U63" s="19"/>
    </row>
    <row r="64" spans="1:21" ht="85.15" customHeight="1" x14ac:dyDescent="0.45">
      <c r="A64" s="45" t="str">
        <f>Arbejdsark!$A$167</f>
        <v>Indeklima</v>
      </c>
      <c r="B64" s="43" t="str">
        <f>Arbejdsark!$B$207</f>
        <v>1.9</v>
      </c>
      <c r="C64" s="45" t="str">
        <f>IF('Sortering af spørgsmål'!$C$15=Projektforudsætninger!$C$20,Arbejdsark!$C$207,"")</f>
        <v/>
      </c>
      <c r="D64" s="46">
        <f>Arbejdsark!D75</f>
        <v>0</v>
      </c>
      <c r="E64" s="45">
        <f>Arbejdsark!I75</f>
        <v>0</v>
      </c>
      <c r="F64" s="45">
        <f>Arbejdsark!J75</f>
        <v>0</v>
      </c>
      <c r="G64" s="45" t="e">
        <f>Arbejdsark!#REF!</f>
        <v>#REF!</v>
      </c>
      <c r="H64" s="45" t="e">
        <f>Arbejdsark!#REF!</f>
        <v>#REF!</v>
      </c>
      <c r="I64" s="45" t="str">
        <f>IF('Sortering af spørgsmål'!$C$15=Projektforudsætninger!$C$20,Arbejdsark!$K$207,"")</f>
        <v/>
      </c>
      <c r="J64" s="37" t="s">
        <v>9</v>
      </c>
      <c r="K64" s="37"/>
      <c r="L64" s="19"/>
      <c r="M64" s="19"/>
      <c r="N64" s="19"/>
      <c r="O64" s="19"/>
      <c r="P64" s="19"/>
      <c r="Q64" s="19"/>
      <c r="R64" s="19"/>
      <c r="S64" s="19"/>
      <c r="T64" s="19"/>
      <c r="U64" s="19"/>
    </row>
    <row r="65" spans="1:21" ht="113.65" customHeight="1" x14ac:dyDescent="0.45">
      <c r="A65" s="45" t="str">
        <f>Arbejdsark!$A$167</f>
        <v>Indeklima</v>
      </c>
      <c r="B65" s="43" t="str">
        <f>Arbejdsark!$B$212</f>
        <v>1.10</v>
      </c>
      <c r="C65" s="45" t="str">
        <f>IF('Sortering af spørgsmål'!$C$15=Projektforudsætninger!$C$20,Arbejdsark!$C$212,"")</f>
        <v/>
      </c>
      <c r="D65" s="46">
        <f>Arbejdsark!D76</f>
        <v>0</v>
      </c>
      <c r="E65" s="45">
        <f>Arbejdsark!I76</f>
        <v>0</v>
      </c>
      <c r="F65" s="45">
        <f>Arbejdsark!J76</f>
        <v>0</v>
      </c>
      <c r="G65" s="45" t="e">
        <f>Arbejdsark!#REF!</f>
        <v>#REF!</v>
      </c>
      <c r="H65" s="45" t="e">
        <f>Arbejdsark!#REF!</f>
        <v>#REF!</v>
      </c>
      <c r="I65" s="45" t="str">
        <f>IF('Sortering af spørgsmål'!$C$15=Projektforudsætninger!$C$20,Arbejdsark!$K$212,"")</f>
        <v/>
      </c>
      <c r="J65" s="37" t="s">
        <v>9</v>
      </c>
      <c r="K65" s="37"/>
      <c r="L65" s="19"/>
      <c r="M65" s="19"/>
      <c r="N65" s="19"/>
      <c r="O65" s="19"/>
      <c r="P65" s="19"/>
      <c r="Q65" s="19"/>
      <c r="R65" s="19"/>
      <c r="S65" s="19"/>
      <c r="T65" s="19"/>
      <c r="U65" s="19"/>
    </row>
    <row r="66" spans="1:21" x14ac:dyDescent="0.45">
      <c r="A66" s="45"/>
      <c r="B66" s="45"/>
      <c r="C66" s="45"/>
      <c r="D66" s="46"/>
      <c r="E66" s="45"/>
      <c r="F66" s="45"/>
      <c r="G66" s="45"/>
      <c r="H66" s="45"/>
      <c r="I66" s="45"/>
      <c r="J66" s="47"/>
      <c r="K66" s="48"/>
      <c r="L66" s="19"/>
      <c r="M66" s="19"/>
      <c r="N66" s="19"/>
      <c r="O66" s="19"/>
      <c r="P66" s="19"/>
      <c r="Q66" s="19"/>
      <c r="R66" s="19"/>
      <c r="S66" s="19"/>
      <c r="T66" s="19"/>
      <c r="U66" s="19"/>
    </row>
    <row r="67" spans="1:21" ht="28.5" customHeight="1" x14ac:dyDescent="0.45">
      <c r="A67" s="57" t="str">
        <f>Arbejdsark!$A$217</f>
        <v>Brugerstyring</v>
      </c>
      <c r="B67" s="57">
        <v>2</v>
      </c>
      <c r="C67" s="57"/>
      <c r="D67" s="57"/>
      <c r="E67" s="57"/>
      <c r="F67" s="57"/>
      <c r="G67" s="57"/>
      <c r="H67" s="57"/>
      <c r="I67" s="57" t="str">
        <f>IF('Sortering af spørgsmål'!$C$16=Projektforudsætninger!$C$20,"Udfyld spørgsmål","Ingen spørgsmål")</f>
        <v>Ingen spørgsmål</v>
      </c>
      <c r="J67" s="54"/>
      <c r="K67" s="55"/>
      <c r="L67" s="19"/>
      <c r="M67" s="19"/>
      <c r="N67" s="19"/>
      <c r="O67" s="19"/>
      <c r="P67" s="19"/>
      <c r="Q67" s="19"/>
      <c r="R67" s="19"/>
      <c r="S67" s="19"/>
      <c r="T67" s="19"/>
      <c r="U67" s="19"/>
    </row>
    <row r="68" spans="1:21" ht="99.4" customHeight="1" x14ac:dyDescent="0.45">
      <c r="A68" s="45" t="str">
        <f>Arbejdsark!$A$217</f>
        <v>Brugerstyring</v>
      </c>
      <c r="B68" s="43" t="str">
        <f>Arbejdsark!$B$217</f>
        <v>2.1</v>
      </c>
      <c r="C68" s="45" t="str">
        <f>IF('Sortering af spørgsmål'!$C$16=Projektforudsætninger!$C$20,Arbejdsark!$C$217,"")</f>
        <v/>
      </c>
      <c r="D68" s="46">
        <f>Arbejdsark!D75</f>
        <v>0</v>
      </c>
      <c r="E68" s="45">
        <f>Arbejdsark!I75</f>
        <v>0</v>
      </c>
      <c r="F68" s="45">
        <f>Arbejdsark!J75</f>
        <v>0</v>
      </c>
      <c r="G68" s="45" t="e">
        <f>Arbejdsark!#REF!</f>
        <v>#REF!</v>
      </c>
      <c r="H68" s="45" t="e">
        <f>Arbejdsark!#REF!</f>
        <v>#REF!</v>
      </c>
      <c r="I68" s="45" t="str">
        <f>IF('Sortering af spørgsmål'!$C$16=Projektforudsætninger!$C$20,Arbejdsark!$K$217,"")</f>
        <v/>
      </c>
      <c r="J68" s="37" t="s">
        <v>9</v>
      </c>
      <c r="K68" s="37"/>
      <c r="L68" s="19"/>
      <c r="M68" s="19"/>
      <c r="N68" s="19"/>
      <c r="O68" s="19"/>
      <c r="P68" s="19"/>
      <c r="Q68" s="19"/>
      <c r="R68" s="19"/>
      <c r="S68" s="19"/>
      <c r="T68" s="19"/>
      <c r="U68" s="19"/>
    </row>
    <row r="69" spans="1:21" ht="99.4" customHeight="1" x14ac:dyDescent="0.45">
      <c r="A69" s="45" t="str">
        <f>Arbejdsark!$A$217</f>
        <v>Brugerstyring</v>
      </c>
      <c r="B69" s="43" t="str">
        <f>Arbejdsark!$B$222</f>
        <v>2.2</v>
      </c>
      <c r="C69" s="45" t="str">
        <f>IF('Sortering af spørgsmål'!$C$16=Projektforudsætninger!$C$20,Arbejdsark!$C$222,"")</f>
        <v/>
      </c>
      <c r="D69" s="46">
        <f>Arbejdsark!D76</f>
        <v>0</v>
      </c>
      <c r="E69" s="45">
        <f>Arbejdsark!I76</f>
        <v>0</v>
      </c>
      <c r="F69" s="45">
        <f>Arbejdsark!J76</f>
        <v>0</v>
      </c>
      <c r="G69" s="45" t="e">
        <f>Arbejdsark!#REF!</f>
        <v>#REF!</v>
      </c>
      <c r="H69" s="45" t="e">
        <f>Arbejdsark!#REF!</f>
        <v>#REF!</v>
      </c>
      <c r="I69" s="45" t="str">
        <f>IF('Sortering af spørgsmål'!$C$16=Projektforudsætninger!$C$20,Arbejdsark!$K$222,"")</f>
        <v/>
      </c>
      <c r="J69" s="37" t="s">
        <v>9</v>
      </c>
      <c r="K69" s="37"/>
      <c r="L69" s="19"/>
      <c r="M69" s="19"/>
      <c r="N69" s="19"/>
      <c r="O69" s="19"/>
      <c r="P69" s="19"/>
      <c r="Q69" s="19"/>
      <c r="R69" s="19"/>
      <c r="S69" s="19"/>
      <c r="T69" s="19"/>
      <c r="U69" s="19"/>
    </row>
    <row r="70" spans="1:21" ht="99.4" customHeight="1" x14ac:dyDescent="0.45">
      <c r="A70" s="45" t="str">
        <f>Arbejdsark!$A$217</f>
        <v>Brugerstyring</v>
      </c>
      <c r="B70" s="43" t="str">
        <f>Arbejdsark!$B$227</f>
        <v>2.3</v>
      </c>
      <c r="C70" s="45" t="str">
        <f>IF('Sortering af spørgsmål'!$C$16=Projektforudsætninger!$C$20,Arbejdsark!$C$227,"")</f>
        <v/>
      </c>
      <c r="D70" s="46">
        <f>Arbejdsark!D77</f>
        <v>0</v>
      </c>
      <c r="E70" s="45">
        <f>Arbejdsark!I77</f>
        <v>0</v>
      </c>
      <c r="F70" s="45">
        <f>Arbejdsark!J77</f>
        <v>0</v>
      </c>
      <c r="G70" s="45" t="e">
        <f>Arbejdsark!#REF!</f>
        <v>#REF!</v>
      </c>
      <c r="H70" s="45" t="e">
        <f>Arbejdsark!#REF!</f>
        <v>#REF!</v>
      </c>
      <c r="I70" s="45" t="str">
        <f>IF('Sortering af spørgsmål'!$C$16=Projektforudsætninger!$C$20,Arbejdsark!$K$227,"")</f>
        <v/>
      </c>
      <c r="J70" s="37" t="s">
        <v>9</v>
      </c>
      <c r="K70" s="37"/>
      <c r="L70" s="19"/>
      <c r="M70" s="19"/>
      <c r="N70" s="19"/>
      <c r="O70" s="19"/>
      <c r="P70" s="19"/>
      <c r="Q70" s="19"/>
      <c r="R70" s="19"/>
      <c r="S70" s="19"/>
      <c r="T70" s="19"/>
      <c r="U70" s="19"/>
    </row>
    <row r="71" spans="1:21" x14ac:dyDescent="0.45">
      <c r="A71" s="45"/>
      <c r="B71" s="45"/>
      <c r="C71" s="45"/>
      <c r="D71" s="46"/>
      <c r="E71" s="45"/>
      <c r="F71" s="45"/>
      <c r="G71" s="45"/>
      <c r="H71" s="45"/>
      <c r="I71" s="45"/>
      <c r="J71" s="47"/>
      <c r="K71" s="48"/>
      <c r="L71" s="19"/>
      <c r="M71" s="19"/>
      <c r="N71" s="19"/>
      <c r="O71" s="19"/>
      <c r="P71" s="19"/>
      <c r="Q71" s="19"/>
      <c r="R71" s="19"/>
      <c r="S71" s="19"/>
      <c r="T71" s="19"/>
      <c r="U71" s="19"/>
    </row>
    <row r="72" spans="1:21" ht="28.5" customHeight="1" x14ac:dyDescent="0.45">
      <c r="A72" s="57" t="str">
        <f>Arbejdsark!$A$234</f>
        <v>Tilgængelighed</v>
      </c>
      <c r="B72" s="57">
        <v>3</v>
      </c>
      <c r="C72" s="57"/>
      <c r="D72" s="57"/>
      <c r="E72" s="57"/>
      <c r="F72" s="57"/>
      <c r="G72" s="57"/>
      <c r="H72" s="57"/>
      <c r="I72" s="57" t="str">
        <f>IF('Sortering af spørgsmål'!$C$17=Projektforudsætninger!$C$20,"Udfyld spørgsmål","Ingen spørgsmål")</f>
        <v>Ingen spørgsmål</v>
      </c>
      <c r="J72" s="54"/>
      <c r="K72" s="55"/>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spørgsmål'!$C$17=Projektforudsætninger!$C$20,Arbejdsark!$C$234,"")</f>
        <v/>
      </c>
      <c r="D73" s="46">
        <f>Arbejdsark!D80</f>
        <v>0</v>
      </c>
      <c r="E73" s="45">
        <f>Arbejdsark!I80</f>
        <v>0</v>
      </c>
      <c r="F73" s="45">
        <f>Arbejdsark!J80</f>
        <v>0</v>
      </c>
      <c r="G73" s="45" t="e">
        <f>Arbejdsark!#REF!</f>
        <v>#REF!</v>
      </c>
      <c r="H73" s="45" t="e">
        <f>Arbejdsark!#REF!</f>
        <v>#REF!</v>
      </c>
      <c r="I73" s="45" t="str">
        <f>IF('Sortering af spørgsmål'!$C$17=Projektforudsætninger!$C$20,Arbejdsark!$K$234,"")</f>
        <v/>
      </c>
      <c r="J73" s="37" t="s">
        <v>9</v>
      </c>
      <c r="K73" s="37"/>
      <c r="L73" s="19"/>
      <c r="M73" s="19"/>
      <c r="N73" s="19"/>
      <c r="O73" s="19"/>
      <c r="P73" s="19"/>
      <c r="Q73" s="19"/>
      <c r="R73" s="19"/>
      <c r="S73" s="19"/>
      <c r="T73" s="19"/>
      <c r="U73" s="19"/>
    </row>
    <row r="74" spans="1:21" ht="141.75" customHeight="1" x14ac:dyDescent="0.45">
      <c r="A74" s="45" t="str">
        <f>Arbejdsark!$A$234</f>
        <v>Tilgængelighed</v>
      </c>
      <c r="B74" s="43" t="e">
        <f>Arbejdsark!#REF!</f>
        <v>#REF!</v>
      </c>
      <c r="C74" s="45" t="str">
        <f>IF('Sortering af spørgsmål'!$C$17=Projektforudsætninger!$C$20,Arbejdsark!#REF!,"")</f>
        <v/>
      </c>
      <c r="D74" s="46" t="e">
        <f>Arbejdsark!#REF!</f>
        <v>#REF!</v>
      </c>
      <c r="E74" s="45" t="e">
        <f>Arbejdsark!#REF!</f>
        <v>#REF!</v>
      </c>
      <c r="F74" s="45" t="e">
        <f>Arbejdsark!#REF!</f>
        <v>#REF!</v>
      </c>
      <c r="G74" s="45" t="e">
        <f>Arbejdsark!#REF!</f>
        <v>#REF!</v>
      </c>
      <c r="H74" s="45" t="e">
        <f>Arbejdsark!#REF!</f>
        <v>#REF!</v>
      </c>
      <c r="I74" s="45" t="str">
        <f>IF('Sortering af spørgsmål'!$C$17=Projektforudsætninger!$C$20,Arbejdsark!#REF!,"")</f>
        <v/>
      </c>
      <c r="J74" s="37" t="s">
        <v>9</v>
      </c>
      <c r="K74" s="37"/>
      <c r="L74" s="19"/>
      <c r="M74" s="19"/>
      <c r="N74" s="19"/>
      <c r="O74" s="19"/>
      <c r="P74" s="19"/>
      <c r="Q74" s="19"/>
      <c r="R74" s="19"/>
      <c r="S74" s="19"/>
      <c r="T74" s="19"/>
      <c r="U74" s="19"/>
    </row>
    <row r="75" spans="1:21" x14ac:dyDescent="0.45">
      <c r="A75" s="45"/>
      <c r="B75" s="45"/>
      <c r="C75" s="45"/>
      <c r="D75" s="46"/>
      <c r="E75" s="45"/>
      <c r="F75" s="45"/>
      <c r="G75" s="45"/>
      <c r="H75" s="45"/>
      <c r="I75" s="45"/>
      <c r="J75" s="47"/>
      <c r="K75" s="48"/>
      <c r="L75" s="19"/>
      <c r="M75" s="19"/>
      <c r="N75" s="19"/>
      <c r="O75" s="19"/>
      <c r="P75" s="19"/>
      <c r="Q75" s="19"/>
      <c r="R75" s="19"/>
      <c r="S75" s="19"/>
      <c r="T75" s="19"/>
      <c r="U75" s="19"/>
    </row>
    <row r="76" spans="1:21" ht="28.5" customHeight="1" x14ac:dyDescent="0.45">
      <c r="A76" s="57" t="str">
        <f>Arbejdsark!A239</f>
        <v>Udearealer</v>
      </c>
      <c r="B76" s="57">
        <v>4</v>
      </c>
      <c r="C76" s="57"/>
      <c r="D76" s="57"/>
      <c r="E76" s="57"/>
      <c r="F76" s="57"/>
      <c r="G76" s="57"/>
      <c r="H76" s="57"/>
      <c r="I76" s="57" t="str">
        <f>IF('Sortering af spørgsmål'!$C$18=Projektforudsætninger!$C$20,"Udfyld spørgsmål","Ingen spørgsmål")</f>
        <v>Ingen spørgsmål</v>
      </c>
      <c r="J76" s="54"/>
      <c r="K76" s="55"/>
      <c r="L76" s="19"/>
      <c r="M76" s="19"/>
      <c r="N76" s="19"/>
      <c r="O76" s="19"/>
      <c r="P76" s="19"/>
      <c r="Q76" s="19"/>
      <c r="R76" s="19"/>
      <c r="S76" s="19"/>
      <c r="T76" s="19"/>
      <c r="U76" s="19"/>
    </row>
    <row r="77" spans="1:21" s="33" customFormat="1" ht="113.65" customHeight="1" x14ac:dyDescent="0.45">
      <c r="A77" s="45" t="str">
        <f>Arbejdsark!A239</f>
        <v>Udearealer</v>
      </c>
      <c r="B77" s="43" t="str">
        <f>Arbejdsark!$B$239</f>
        <v>4.1</v>
      </c>
      <c r="C77" s="45" t="str">
        <f>IF('Sortering af spørgsmål'!$C$18=Projektforudsætninger!$C$20,Arbejdsark!$C$239,"")</f>
        <v/>
      </c>
      <c r="D77" s="46">
        <f>Arbejdsark!D88</f>
        <v>0</v>
      </c>
      <c r="E77" s="45">
        <f>Arbejdsark!I88</f>
        <v>0</v>
      </c>
      <c r="F77" s="45">
        <f>Arbejdsark!J88</f>
        <v>0</v>
      </c>
      <c r="G77" s="45" t="e">
        <f>Arbejdsark!#REF!</f>
        <v>#REF!</v>
      </c>
      <c r="H77" s="45" t="e">
        <f>Arbejdsark!#REF!</f>
        <v>#REF!</v>
      </c>
      <c r="I77" s="45" t="str">
        <f>IF('Sortering af spørgsmål'!$C$18=Projektforudsætninger!$C$20,Arbejdsark!$K$239,"")</f>
        <v/>
      </c>
      <c r="J77" s="37" t="s">
        <v>9</v>
      </c>
      <c r="K77" s="37"/>
      <c r="L77" s="27">
        <f t="shared" ref="L77:U77" si="2">L4</f>
        <v>0</v>
      </c>
      <c r="M77" s="27">
        <f t="shared" si="2"/>
        <v>0</v>
      </c>
      <c r="N77" s="27">
        <f t="shared" si="2"/>
        <v>0</v>
      </c>
      <c r="O77" s="27">
        <f t="shared" si="2"/>
        <v>0</v>
      </c>
      <c r="P77" s="27">
        <f t="shared" si="2"/>
        <v>0</v>
      </c>
      <c r="Q77" s="27">
        <f t="shared" si="2"/>
        <v>0</v>
      </c>
      <c r="R77" s="27">
        <f t="shared" si="2"/>
        <v>0</v>
      </c>
      <c r="S77" s="27">
        <f t="shared" si="2"/>
        <v>0</v>
      </c>
      <c r="T77" s="27">
        <f t="shared" si="2"/>
        <v>0</v>
      </c>
      <c r="U77" s="27">
        <f t="shared" si="2"/>
        <v>0</v>
      </c>
    </row>
    <row r="78" spans="1:21" ht="170.25" customHeight="1" x14ac:dyDescent="0.45">
      <c r="A78" s="45" t="str">
        <f>Arbejdsark!A239</f>
        <v>Udearealer</v>
      </c>
      <c r="B78" s="43" t="str">
        <f>Arbejdsark!$B$244</f>
        <v>4.2</v>
      </c>
      <c r="C78" s="45" t="str">
        <f>IF('Sortering af spørgsmål'!$C$18=Projektforudsætninger!$C$20,Arbejdsark!$C$244,"")</f>
        <v/>
      </c>
      <c r="D78" s="46">
        <f>Arbejdsark!D90</f>
        <v>0</v>
      </c>
      <c r="E78" s="45">
        <f>Arbejdsark!I90</f>
        <v>0</v>
      </c>
      <c r="F78" s="45">
        <f>Arbejdsark!J90</f>
        <v>0</v>
      </c>
      <c r="G78" s="45" t="e">
        <f>Arbejdsark!#REF!</f>
        <v>#REF!</v>
      </c>
      <c r="H78" s="45" t="e">
        <f>Arbejdsark!#REF!</f>
        <v>#REF!</v>
      </c>
      <c r="I78" s="45" t="str">
        <f>IF('Sortering af spørgsmål'!$C$18=Projektforudsætninger!$C$20,Arbejdsark!$K$244,"")</f>
        <v/>
      </c>
      <c r="J78" s="37" t="s">
        <v>9</v>
      </c>
      <c r="K78" s="37"/>
      <c r="L78" s="19"/>
      <c r="M78" s="19"/>
      <c r="N78" s="19"/>
      <c r="O78" s="19"/>
      <c r="P78" s="19"/>
      <c r="Q78" s="19"/>
      <c r="R78" s="19"/>
      <c r="S78" s="19"/>
      <c r="T78" s="19"/>
      <c r="U78" s="19"/>
    </row>
    <row r="79" spans="1:21" x14ac:dyDescent="0.45">
      <c r="A79" s="45"/>
      <c r="B79" s="45"/>
      <c r="C79" s="45"/>
      <c r="D79" s="46"/>
      <c r="E79" s="45"/>
      <c r="F79" s="45"/>
      <c r="G79" s="45"/>
      <c r="H79" s="45"/>
      <c r="I79" s="45"/>
      <c r="J79" s="47"/>
      <c r="K79" s="48"/>
      <c r="L79" s="19"/>
      <c r="M79" s="19"/>
      <c r="N79" s="19"/>
      <c r="O79" s="19"/>
      <c r="P79" s="19"/>
      <c r="Q79" s="19"/>
      <c r="R79" s="19"/>
      <c r="S79" s="19"/>
      <c r="T79" s="19"/>
      <c r="U79" s="19"/>
    </row>
    <row r="80" spans="1:21" ht="28.5" customHeight="1" x14ac:dyDescent="0.45">
      <c r="A80" s="57" t="str">
        <f>Arbejdsark!$A$250</f>
        <v>Cyklister</v>
      </c>
      <c r="B80" s="57">
        <v>5</v>
      </c>
      <c r="C80" s="57"/>
      <c r="D80" s="57"/>
      <c r="E80" s="57"/>
      <c r="F80" s="57"/>
      <c r="G80" s="57"/>
      <c r="H80" s="57"/>
      <c r="I80" s="57" t="str">
        <f>IF('Sortering af spørgsmål'!$C$19=Projektforudsætninger!$C$20,"Udfyld spørgsmål","Ingen spørgsmål")</f>
        <v>Ingen spørgsmål</v>
      </c>
      <c r="J80" s="57"/>
      <c r="K80" s="57"/>
      <c r="L80" s="19"/>
      <c r="M80" s="19"/>
      <c r="N80" s="19"/>
      <c r="O80" s="19"/>
      <c r="P80" s="19"/>
      <c r="Q80" s="19"/>
      <c r="R80" s="19"/>
      <c r="S80" s="19"/>
      <c r="T80" s="19"/>
      <c r="U80" s="19"/>
    </row>
    <row r="81" spans="1:21" ht="141.75" customHeight="1" x14ac:dyDescent="0.45">
      <c r="A81" s="45" t="str">
        <f>Arbejdsark!$A$250</f>
        <v>Cyklister</v>
      </c>
      <c r="B81" s="43" t="str">
        <f>Arbejdsark!$B$250</f>
        <v>5.1</v>
      </c>
      <c r="C81" s="45" t="str">
        <f>IF('Sortering af spørgsmål'!$C$19=Projektforudsætninger!$C$20,Arbejdsark!$C$250,"")</f>
        <v/>
      </c>
      <c r="D81" s="46">
        <f>Arbejdsark!D93</f>
        <v>0</v>
      </c>
      <c r="E81" s="45">
        <f>Arbejdsark!I93</f>
        <v>0</v>
      </c>
      <c r="F81" s="45">
        <f>Arbejdsark!J93</f>
        <v>0</v>
      </c>
      <c r="G81" s="45" t="e">
        <f>Arbejdsark!#REF!</f>
        <v>#REF!</v>
      </c>
      <c r="H81" s="45" t="e">
        <f>Arbejdsark!#REF!</f>
        <v>#REF!</v>
      </c>
      <c r="I81" s="45" t="str">
        <f>IF('Sortering af spørgsmål'!$C$19=Projektforudsætninger!$C$20,Arbejdsark!$K$250,"")</f>
        <v/>
      </c>
      <c r="J81" s="37" t="s">
        <v>9</v>
      </c>
      <c r="K81" s="37"/>
      <c r="L81" s="19"/>
      <c r="M81" s="19"/>
      <c r="N81" s="19"/>
      <c r="O81" s="19"/>
      <c r="P81" s="19"/>
      <c r="Q81" s="19"/>
      <c r="R81" s="19"/>
      <c r="S81" s="19"/>
      <c r="T81" s="19"/>
      <c r="U81" s="19"/>
    </row>
    <row r="82" spans="1:21" ht="141.75" customHeight="1" x14ac:dyDescent="0.45">
      <c r="A82" s="45" t="str">
        <f>Arbejdsark!$A$250</f>
        <v>Cyklister</v>
      </c>
      <c r="B82" s="43" t="str">
        <f>Arbejdsark!$B$255</f>
        <v>5.2</v>
      </c>
      <c r="C82" s="45" t="str">
        <f>IF('Sortering af spørgsmål'!$C$19=Projektforudsætninger!$C$20,Arbejdsark!$C$255,"")</f>
        <v/>
      </c>
      <c r="D82" s="46">
        <f>Arbejdsark!D94</f>
        <v>0</v>
      </c>
      <c r="E82" s="45">
        <f>Arbejdsark!I94</f>
        <v>0</v>
      </c>
      <c r="F82" s="45">
        <f>Arbejdsark!J94</f>
        <v>0</v>
      </c>
      <c r="G82" s="45" t="e">
        <f>Arbejdsark!#REF!</f>
        <v>#REF!</v>
      </c>
      <c r="H82" s="45" t="e">
        <f>Arbejdsark!#REF!</f>
        <v>#REF!</v>
      </c>
      <c r="I82" s="45" t="str">
        <f>IF('Sortering af spørgsmål'!$C$19=Projektforudsætninger!$C$20,Arbejdsark!$K$255,"")</f>
        <v/>
      </c>
      <c r="J82" s="37" t="s">
        <v>9</v>
      </c>
      <c r="K82" s="37"/>
      <c r="L82" s="19"/>
      <c r="M82" s="19"/>
      <c r="N82" s="19"/>
      <c r="O82" s="19"/>
      <c r="P82" s="19"/>
      <c r="Q82" s="19"/>
      <c r="R82" s="19"/>
      <c r="S82" s="19"/>
      <c r="T82" s="19"/>
      <c r="U82" s="19"/>
    </row>
    <row r="83" spans="1:21" ht="141.75" customHeight="1" x14ac:dyDescent="0.45">
      <c r="A83" s="45" t="str">
        <f>Arbejdsark!$A$250</f>
        <v>Cyklister</v>
      </c>
      <c r="B83" s="43" t="str">
        <f>Arbejdsark!$B$260</f>
        <v>5.3</v>
      </c>
      <c r="C83" s="45" t="str">
        <f>IF('Sortering af spørgsmål'!$C$19=Projektforudsætninger!$C$20,Arbejdsark!$C$260,"")</f>
        <v/>
      </c>
      <c r="D83" s="46" t="e">
        <f>Arbejdsark!#REF!</f>
        <v>#REF!</v>
      </c>
      <c r="E83" s="45" t="e">
        <f>Arbejdsark!#REF!</f>
        <v>#REF!</v>
      </c>
      <c r="F83" s="45" t="e">
        <f>Arbejdsark!#REF!</f>
        <v>#REF!</v>
      </c>
      <c r="G83" s="45" t="e">
        <f>Arbejdsark!#REF!</f>
        <v>#REF!</v>
      </c>
      <c r="H83" s="45" t="e">
        <f>Arbejdsark!#REF!</f>
        <v>#REF!</v>
      </c>
      <c r="I83" s="45" t="str">
        <f>IF('Sortering af spørgsmål'!$C$19=Projektforudsætninger!$C$20,Arbejdsark!$K$260,"")</f>
        <v/>
      </c>
      <c r="J83" s="37" t="s">
        <v>9</v>
      </c>
      <c r="K83" s="37"/>
      <c r="L83" s="19"/>
      <c r="M83" s="19"/>
      <c r="N83" s="19"/>
      <c r="O83" s="19"/>
      <c r="P83" s="19"/>
      <c r="Q83" s="19"/>
      <c r="R83" s="19"/>
      <c r="S83" s="19"/>
      <c r="T83" s="19"/>
      <c r="U83" s="19"/>
    </row>
    <row r="84" spans="1:21" x14ac:dyDescent="0.45">
      <c r="A84" s="45"/>
      <c r="B84" s="45"/>
      <c r="C84" s="45"/>
      <c r="D84" s="46"/>
      <c r="E84" s="45"/>
      <c r="F84" s="45"/>
      <c r="G84" s="45"/>
      <c r="H84" s="45"/>
      <c r="I84" s="45"/>
      <c r="J84" s="47"/>
      <c r="K84" s="48"/>
      <c r="L84" s="19"/>
      <c r="M84" s="19"/>
      <c r="N84" s="19"/>
      <c r="O84" s="19"/>
      <c r="P84" s="19"/>
      <c r="Q84" s="19"/>
      <c r="R84" s="19"/>
      <c r="S84" s="19"/>
      <c r="T84" s="19"/>
      <c r="U84" s="19"/>
    </row>
    <row r="85" spans="1:21" ht="28.5" customHeight="1" x14ac:dyDescent="0.45">
      <c r="A85" s="57" t="str">
        <f>Arbejdsark!$A$265</f>
        <v>Tryghed og sikkerhed</v>
      </c>
      <c r="B85" s="57">
        <v>6</v>
      </c>
      <c r="C85" s="57"/>
      <c r="D85" s="57"/>
      <c r="E85" s="57"/>
      <c r="F85" s="57"/>
      <c r="G85" s="57"/>
      <c r="H85" s="57"/>
      <c r="I85" s="57" t="str">
        <f>IF('Sortering af spørgsmål'!$C$20=Projektforudsætninger!$C$20,"Udfyld spørgsmål","Ingen spørgsmål")</f>
        <v>Ingen spørgsmål</v>
      </c>
      <c r="J85" s="54"/>
      <c r="K85" s="55"/>
      <c r="L85" s="19"/>
      <c r="M85" s="19"/>
      <c r="N85" s="19"/>
      <c r="O85" s="19"/>
      <c r="P85" s="19"/>
      <c r="Q85" s="19"/>
      <c r="R85" s="19"/>
      <c r="S85" s="19"/>
      <c r="T85" s="19"/>
      <c r="U85" s="19"/>
    </row>
    <row r="86" spans="1:21" ht="113.65" customHeight="1" x14ac:dyDescent="0.45">
      <c r="A86" s="45" t="str">
        <f>Arbejdsark!$A$265</f>
        <v>Tryghed og sikkerhed</v>
      </c>
      <c r="B86" s="43" t="str">
        <f>Arbejdsark!$B$265</f>
        <v>6.1</v>
      </c>
      <c r="C86" s="45" t="str">
        <f>IF('Sortering af spørgsmål'!$C$20=Projektforudsætninger!$C$20,Arbejdsark!$C$265,"")</f>
        <v/>
      </c>
      <c r="D86" s="46">
        <f>Arbejdsark!D95</f>
        <v>0</v>
      </c>
      <c r="E86" s="45">
        <f>Arbejdsark!I95</f>
        <v>0</v>
      </c>
      <c r="F86" s="45">
        <f>Arbejdsark!J95</f>
        <v>0</v>
      </c>
      <c r="G86" s="45" t="e">
        <f>Arbejdsark!#REF!</f>
        <v>#REF!</v>
      </c>
      <c r="H86" s="45" t="e">
        <f>Arbejdsark!#REF!</f>
        <v>#REF!</v>
      </c>
      <c r="I86" s="45" t="str">
        <f>IF('Sortering af spørgsmål'!$C$20=Projektforudsætninger!$C$20,Arbejdsark!$K$265,"")</f>
        <v/>
      </c>
      <c r="J86" s="37" t="s">
        <v>9</v>
      </c>
      <c r="K86" s="37"/>
      <c r="L86" s="19"/>
      <c r="M86" s="19"/>
      <c r="N86" s="19"/>
      <c r="O86" s="19"/>
      <c r="P86" s="19"/>
      <c r="Q86" s="19"/>
      <c r="R86" s="19"/>
      <c r="S86" s="19"/>
      <c r="T86" s="19"/>
      <c r="U86" s="19"/>
    </row>
    <row r="87" spans="1:21" ht="23.25" x14ac:dyDescent="0.45">
      <c r="A87" s="45" t="str">
        <f>Arbejdsark!$A$265</f>
        <v>Tryghed og sikkerhed</v>
      </c>
      <c r="B87" s="43" t="str">
        <f>Arbejdsark!$B$270</f>
        <v>6.2</v>
      </c>
      <c r="C87" s="45" t="str">
        <f>IF('Sortering af spørgsmål'!$C$20=Projektforudsætninger!$C$20,Arbejdsark!$C$270,"")</f>
        <v/>
      </c>
      <c r="D87" s="46" t="str">
        <f>Arbejdsark!D109</f>
        <v>ECO1.1
Vægtning: 13% af ECO1.1</v>
      </c>
      <c r="E87" s="45" t="str">
        <f>Arbejdsark!I109</f>
        <v>x</v>
      </c>
      <c r="F87" s="45">
        <f>Arbejdsark!J109</f>
        <v>0</v>
      </c>
      <c r="G87" s="45" t="e">
        <f>Arbejdsark!#REF!</f>
        <v>#REF!</v>
      </c>
      <c r="H87" s="45" t="e">
        <f>Arbejdsark!#REF!</f>
        <v>#REF!</v>
      </c>
      <c r="I87" s="45" t="str">
        <f>IF('Sortering af spørgsmål'!$C$20=Projektforudsætninger!$C$20,Arbejdsark!$K$270,"")</f>
        <v/>
      </c>
      <c r="J87" s="37" t="s">
        <v>9</v>
      </c>
      <c r="K87" s="37"/>
      <c r="L87" s="19"/>
      <c r="M87" s="19"/>
      <c r="N87" s="19"/>
      <c r="O87" s="19"/>
      <c r="P87" s="19"/>
      <c r="Q87" s="19"/>
      <c r="R87" s="19"/>
      <c r="S87" s="19"/>
      <c r="T87" s="19"/>
      <c r="U87" s="19"/>
    </row>
    <row r="88" spans="1:21" x14ac:dyDescent="0.45">
      <c r="A88" s="45"/>
      <c r="B88" s="45"/>
      <c r="C88" s="45"/>
      <c r="D88" s="46"/>
      <c r="E88" s="45"/>
      <c r="F88" s="45"/>
      <c r="G88" s="45"/>
      <c r="H88" s="45"/>
      <c r="I88" s="45"/>
      <c r="J88" s="47"/>
      <c r="K88" s="48"/>
      <c r="L88" s="19"/>
      <c r="M88" s="19"/>
      <c r="N88" s="19"/>
      <c r="O88" s="19"/>
      <c r="P88" s="19"/>
      <c r="Q88" s="19"/>
      <c r="R88" s="19"/>
      <c r="S88" s="19"/>
      <c r="T88" s="19"/>
      <c r="U88" s="19"/>
    </row>
    <row r="89" spans="1:21" ht="28.5" customHeight="1" x14ac:dyDescent="0.45">
      <c r="A89" s="57" t="str">
        <f>Arbejdsark!$A$279</f>
        <v>Arkitektonisk kvalitet</v>
      </c>
      <c r="B89" s="57">
        <v>7</v>
      </c>
      <c r="C89" s="57"/>
      <c r="D89" s="57"/>
      <c r="E89" s="57"/>
      <c r="F89" s="57"/>
      <c r="G89" s="57"/>
      <c r="H89" s="57"/>
      <c r="I89" s="57" t="str">
        <f>IF('Sortering af spørgsmål'!$C$21=Projektforudsætninger!$C$20,"Udfyld spørgsmål","Ingen spørgsmål")</f>
        <v>Ingen spørgsmål</v>
      </c>
      <c r="J89" s="57"/>
      <c r="K89" s="57"/>
      <c r="L89" s="19"/>
      <c r="M89" s="19"/>
      <c r="N89" s="19"/>
      <c r="O89" s="19"/>
      <c r="P89" s="19"/>
      <c r="Q89" s="19"/>
      <c r="R89" s="19"/>
      <c r="S89" s="19"/>
      <c r="T89" s="19"/>
      <c r="U89" s="19"/>
    </row>
    <row r="90" spans="1:21" s="33" customFormat="1" x14ac:dyDescent="0.45">
      <c r="A90" s="45" t="str">
        <f>IF(Projektforudsætninger!C40="Totalentreprisekonkurrence eller OPP leverance",Arbejdsark!$A$279,"")</f>
        <v/>
      </c>
      <c r="B90" s="43" t="str">
        <f>Arbejdsark!$B$289</f>
        <v>7.1</v>
      </c>
      <c r="C90" s="45" t="str">
        <f>IF(Projektforudsætninger!C40="Totalentreprisekonkurrence eller OPP leverance",IF('Sortering af spørgsmål'!$C$21=Projektforudsætninger!$C$20,Arbejdsark!C289,""),"")</f>
        <v/>
      </c>
      <c r="D90" s="46"/>
      <c r="E90" s="45"/>
      <c r="F90" s="45"/>
      <c r="G90" s="45"/>
      <c r="H90" s="45"/>
      <c r="I90" s="45" t="str">
        <f>IF('Sortering af spørgsmål'!$C$21=Projektforudsætninger!$C$20,IF(Projektforudsætninger!C40="Totalentreprisekonkurrence eller OPP leverance",Arbejdsark!$K$289,""),"")</f>
        <v/>
      </c>
      <c r="J90" s="37" t="s">
        <v>9</v>
      </c>
      <c r="K90" s="37"/>
      <c r="L90" s="32"/>
      <c r="M90" s="32"/>
      <c r="N90" s="32"/>
      <c r="O90" s="32"/>
      <c r="P90" s="32"/>
      <c r="Q90" s="32"/>
      <c r="R90" s="32"/>
      <c r="S90" s="32"/>
      <c r="T90" s="32"/>
      <c r="U90" s="32"/>
    </row>
    <row r="91" spans="1:21" s="33" customFormat="1" ht="98.1" customHeight="1" x14ac:dyDescent="0.45">
      <c r="A91" s="45"/>
      <c r="B91" s="43" t="str">
        <f>Arbejdsark!$B$294</f>
        <v>7.2</v>
      </c>
      <c r="C91" s="45" t="str">
        <f>IF(Projektforudsætninger!C40="Totalentreprisekonkurrence eller OPP leverance",IF('Sortering af spørgsmål'!$C$21=Projektforudsætninger!$C$20,Arbejdsark!C294,""),"")</f>
        <v/>
      </c>
      <c r="D91" s="46"/>
      <c r="E91" s="45"/>
      <c r="F91" s="45"/>
      <c r="G91" s="45"/>
      <c r="H91" s="45"/>
      <c r="I91" s="45" t="str">
        <f>IF('Sortering af spørgsmål'!$C$21=Projektforudsætninger!$C$20,IF(Projektforudsætninger!C40="Totalentreprisekonkurrence eller OPP leverance",Arbejdsark!$K$294,""),"")</f>
        <v/>
      </c>
      <c r="J91" s="37" t="s">
        <v>9</v>
      </c>
      <c r="K91" s="37"/>
      <c r="L91" s="32"/>
      <c r="M91" s="32"/>
      <c r="N91" s="32"/>
      <c r="O91" s="32"/>
      <c r="P91" s="32"/>
      <c r="Q91" s="32"/>
      <c r="R91" s="32"/>
      <c r="S91" s="32"/>
      <c r="T91" s="32"/>
      <c r="U91" s="32"/>
    </row>
    <row r="92" spans="1:21" x14ac:dyDescent="0.45">
      <c r="A92" s="45"/>
      <c r="B92" s="45"/>
      <c r="C92" s="45"/>
      <c r="D92" s="46"/>
      <c r="E92" s="45"/>
      <c r="F92" s="45"/>
      <c r="G92" s="45"/>
      <c r="H92" s="45"/>
      <c r="I92" s="45"/>
      <c r="J92" s="47"/>
      <c r="K92" s="48"/>
      <c r="L92" s="19"/>
      <c r="M92" s="19"/>
      <c r="N92" s="19"/>
      <c r="O92" s="19"/>
      <c r="P92" s="19"/>
      <c r="Q92" s="19"/>
      <c r="R92" s="19"/>
      <c r="S92" s="19"/>
      <c r="T92" s="19"/>
      <c r="U92" s="19"/>
    </row>
    <row r="93" spans="1:21" ht="28.15" customHeight="1" x14ac:dyDescent="0.45">
      <c r="A93" s="57" t="str">
        <f>Arbejdsark!A300</f>
        <v>Plandisponering</v>
      </c>
      <c r="B93" s="57">
        <v>8</v>
      </c>
      <c r="C93" s="57"/>
      <c r="D93" s="57"/>
      <c r="E93" s="57"/>
      <c r="F93" s="57"/>
      <c r="G93" s="57"/>
      <c r="H93" s="57"/>
      <c r="I93" s="57" t="str">
        <f>IF('Sortering af spørgsmål'!$C$22=Projektforudsætninger!$C$20,"Udfyld spørgsmål","Ingen spørgsmål")</f>
        <v>Ingen spørgsmål</v>
      </c>
      <c r="J93" s="57"/>
      <c r="K93" s="57"/>
      <c r="L93" s="19"/>
      <c r="M93" s="19"/>
      <c r="N93" s="19"/>
      <c r="O93" s="19"/>
      <c r="P93" s="19"/>
      <c r="Q93" s="19"/>
      <c r="R93" s="19"/>
      <c r="S93" s="19"/>
      <c r="T93" s="19"/>
      <c r="U93" s="19"/>
    </row>
    <row r="94" spans="1:21" ht="70.900000000000006" customHeight="1" x14ac:dyDescent="0.45">
      <c r="A94" s="45" t="str">
        <f>Arbejdsark!A300</f>
        <v>Plandisponering</v>
      </c>
      <c r="B94" s="43" t="str">
        <f>Arbejdsark!$B$300</f>
        <v>8.1</v>
      </c>
      <c r="C94" s="45" t="str">
        <f>IF('Sortering af spørgsmål'!$C$22=Projektforudsætninger!$C$20,Arbejdsark!$C$300,"")</f>
        <v/>
      </c>
      <c r="D94" s="46">
        <f>Arbejdsark!D115</f>
        <v>0</v>
      </c>
      <c r="E94" s="45">
        <f>Arbejdsark!I115</f>
        <v>0</v>
      </c>
      <c r="F94" s="45">
        <f>Arbejdsark!J115</f>
        <v>0</v>
      </c>
      <c r="G94" s="45" t="e">
        <f>Arbejdsark!#REF!</f>
        <v>#REF!</v>
      </c>
      <c r="H94" s="45" t="e">
        <f>Arbejdsark!#REF!</f>
        <v>#REF!</v>
      </c>
      <c r="I94" s="45" t="str">
        <f>IF('Sortering af spørgsmål'!$C$22=Projektforudsætninger!$C$20,Arbejdsark!$K$300,"")</f>
        <v/>
      </c>
      <c r="J94" s="37" t="s">
        <v>9</v>
      </c>
      <c r="K94" s="41"/>
      <c r="L94" s="19"/>
      <c r="M94" s="19"/>
      <c r="N94" s="19"/>
      <c r="O94" s="19"/>
      <c r="P94" s="19"/>
      <c r="Q94" s="19"/>
      <c r="R94" s="19"/>
      <c r="S94" s="19"/>
      <c r="T94" s="19"/>
      <c r="U94" s="19"/>
    </row>
    <row r="95" spans="1:21" ht="141.75" customHeight="1" x14ac:dyDescent="0.45">
      <c r="A95" s="45" t="str">
        <f>Arbejdsark!A300</f>
        <v>Plandisponering</v>
      </c>
      <c r="B95" s="43" t="str">
        <f>Arbejdsark!$B$306</f>
        <v>8.2</v>
      </c>
      <c r="C95" s="45" t="str">
        <f>IF('Sortering af spørgsmål'!$C$22=Projektforudsætninger!$C$20,Arbejdsark!$C$306,"")</f>
        <v/>
      </c>
      <c r="D95" s="46">
        <f>Arbejdsark!D116</f>
        <v>0</v>
      </c>
      <c r="E95" s="45">
        <f>Arbejdsark!I116</f>
        <v>0</v>
      </c>
      <c r="F95" s="45">
        <f>Arbejdsark!J116</f>
        <v>0</v>
      </c>
      <c r="G95" s="45" t="e">
        <f>Arbejdsark!#REF!</f>
        <v>#REF!</v>
      </c>
      <c r="H95" s="45" t="e">
        <f>Arbejdsark!#REF!</f>
        <v>#REF!</v>
      </c>
      <c r="I95" s="45" t="str">
        <f>IF('Sortering af spørgsmål'!$C$22=Projektforudsætninger!$C$20,Arbejdsark!$K$306,"")</f>
        <v/>
      </c>
      <c r="J95" s="37" t="s">
        <v>9</v>
      </c>
      <c r="K95" s="41"/>
      <c r="L95" s="19"/>
      <c r="M95" s="19"/>
      <c r="N95" s="19"/>
      <c r="O95" s="19"/>
      <c r="P95" s="19"/>
      <c r="Q95" s="19"/>
      <c r="R95" s="19"/>
      <c r="S95" s="19"/>
      <c r="T95" s="19"/>
      <c r="U95" s="19"/>
    </row>
    <row r="96" spans="1:21" ht="141.75" customHeight="1" x14ac:dyDescent="0.45">
      <c r="A96" s="45" t="str">
        <f>Arbejdsark!A300</f>
        <v>Plandisponering</v>
      </c>
      <c r="B96" s="43" t="str">
        <f>Arbejdsark!$B$311</f>
        <v>8.3</v>
      </c>
      <c r="C96" s="45" t="str">
        <f>IF('Sortering af spørgsmål'!$C$22=Projektforudsætninger!$C$20,Arbejdsark!$C$311,"")</f>
        <v/>
      </c>
      <c r="D96" s="46">
        <f>Arbejdsark!D117</f>
        <v>0</v>
      </c>
      <c r="E96" s="45">
        <f>Arbejdsark!I117</f>
        <v>0</v>
      </c>
      <c r="F96" s="45">
        <f>Arbejdsark!J117</f>
        <v>0</v>
      </c>
      <c r="G96" s="45" t="e">
        <f>Arbejdsark!#REF!</f>
        <v>#REF!</v>
      </c>
      <c r="H96" s="45" t="e">
        <f>Arbejdsark!#REF!</f>
        <v>#REF!</v>
      </c>
      <c r="I96" s="45" t="str">
        <f>IF('Sortering af spørgsmål'!$C$22=Projektforudsætninger!$C$20,Arbejdsark!$K$311,"")</f>
        <v/>
      </c>
      <c r="J96" s="37" t="s">
        <v>9</v>
      </c>
      <c r="K96" s="41"/>
      <c r="L96" s="19"/>
      <c r="M96" s="19"/>
      <c r="N96" s="19"/>
      <c r="O96" s="19"/>
      <c r="P96" s="19"/>
      <c r="Q96" s="19"/>
      <c r="R96" s="19"/>
      <c r="S96" s="19"/>
      <c r="T96" s="19"/>
      <c r="U96" s="19"/>
    </row>
    <row r="97" spans="1:21" ht="141.75" customHeight="1" x14ac:dyDescent="0.45">
      <c r="A97" s="45" t="str">
        <f>Arbejdsark!A300</f>
        <v>Plandisponering</v>
      </c>
      <c r="B97" s="43" t="str">
        <f>Arbejdsark!$B$316</f>
        <v>8.4</v>
      </c>
      <c r="C97" s="45" t="str">
        <f>IF('Sortering af spørgsmål'!$C$22=Projektforudsætninger!$C$20,Arbejdsark!$C$316,"")</f>
        <v/>
      </c>
      <c r="D97" s="46">
        <f>Arbejdsark!D118</f>
        <v>0</v>
      </c>
      <c r="E97" s="45">
        <f>Arbejdsark!I118</f>
        <v>0</v>
      </c>
      <c r="F97" s="45">
        <f>Arbejdsark!J118</f>
        <v>0</v>
      </c>
      <c r="G97" s="45" t="e">
        <f>Arbejdsark!#REF!</f>
        <v>#REF!</v>
      </c>
      <c r="H97" s="45" t="e">
        <f>Arbejdsark!#REF!</f>
        <v>#REF!</v>
      </c>
      <c r="I97" s="45" t="str">
        <f>IF('Sortering af spørgsmål'!$C$22=Projektforudsætninger!$C$20,Arbejdsark!$K$316,"")</f>
        <v/>
      </c>
      <c r="J97" s="37" t="s">
        <v>9</v>
      </c>
      <c r="K97" s="41"/>
      <c r="L97" s="19"/>
      <c r="M97" s="19"/>
      <c r="N97" s="19"/>
      <c r="O97" s="19"/>
      <c r="P97" s="19"/>
      <c r="Q97" s="19"/>
      <c r="R97" s="19"/>
      <c r="S97" s="19"/>
      <c r="T97" s="19"/>
      <c r="U97" s="19"/>
    </row>
    <row r="98" spans="1:21" ht="141.75" customHeight="1" x14ac:dyDescent="0.45">
      <c r="A98" s="45" t="str">
        <f>Arbejdsark!A300</f>
        <v>Plandisponering</v>
      </c>
      <c r="B98" s="43" t="str">
        <f>Arbejdsark!$B$321</f>
        <v>8.5</v>
      </c>
      <c r="C98" s="45" t="str">
        <f>IF('Sortering af spørgsmål'!$C$22=Projektforudsætninger!$C$20,Arbejdsark!$C$321,"")</f>
        <v/>
      </c>
      <c r="D98" s="46" t="str">
        <f>Arbejdsark!D119</f>
        <v>ECO2.1
Vægtning: ECO2.1 pkt. 3</v>
      </c>
      <c r="E98" s="45" t="str">
        <f>Arbejdsark!I119</f>
        <v>x</v>
      </c>
      <c r="F98" s="45">
        <f>Arbejdsark!J119</f>
        <v>0</v>
      </c>
      <c r="G98" s="45" t="e">
        <f>Arbejdsark!#REF!</f>
        <v>#REF!</v>
      </c>
      <c r="H98" s="45" t="e">
        <f>Arbejdsark!#REF!</f>
        <v>#REF!</v>
      </c>
      <c r="I98" s="45" t="str">
        <f>IF('Sortering af spørgsmål'!$C$22=Projektforudsætninger!$C$20,Arbejdsark!$K$321,"")</f>
        <v/>
      </c>
      <c r="J98" s="37" t="s">
        <v>9</v>
      </c>
      <c r="K98" s="41"/>
      <c r="L98" s="19"/>
      <c r="M98" s="19"/>
      <c r="N98" s="19"/>
      <c r="O98" s="19"/>
      <c r="P98" s="19"/>
      <c r="Q98" s="19"/>
      <c r="R98" s="19"/>
      <c r="S98" s="19"/>
      <c r="T98" s="19"/>
      <c r="U98" s="19"/>
    </row>
    <row r="99" spans="1:21" ht="141.75" customHeight="1" x14ac:dyDescent="0.45">
      <c r="A99" s="45" t="str">
        <f>Arbejdsark!A300</f>
        <v>Plandisponering</v>
      </c>
      <c r="B99" s="43" t="str">
        <f>Arbejdsark!$B$326</f>
        <v>8.6</v>
      </c>
      <c r="C99" s="45" t="str">
        <f>IF('Sortering af spørgsmål'!$C$22=Projektforudsætninger!$C$20,Arbejdsark!$C$326,"")</f>
        <v/>
      </c>
      <c r="D99" s="46">
        <f>Arbejdsark!D120</f>
        <v>0</v>
      </c>
      <c r="E99" s="45">
        <f>Arbejdsark!I120</f>
        <v>0</v>
      </c>
      <c r="F99" s="45">
        <f>Arbejdsark!J120</f>
        <v>0</v>
      </c>
      <c r="G99" s="45" t="e">
        <f>Arbejdsark!#REF!</f>
        <v>#REF!</v>
      </c>
      <c r="H99" s="45" t="e">
        <f>Arbejdsark!#REF!</f>
        <v>#REF!</v>
      </c>
      <c r="I99" s="45" t="str">
        <f>IF('Sortering af spørgsmål'!$C$22=Projektforudsætninger!$C$20,Arbejdsark!$K$326,"")</f>
        <v/>
      </c>
      <c r="J99" s="37" t="s">
        <v>9</v>
      </c>
      <c r="K99" s="41"/>
      <c r="L99" s="19"/>
      <c r="M99" s="19"/>
      <c r="N99" s="19"/>
      <c r="O99" s="19"/>
      <c r="P99" s="19"/>
      <c r="Q99" s="19"/>
      <c r="R99" s="19"/>
      <c r="S99" s="19"/>
      <c r="T99" s="19"/>
      <c r="U99" s="19"/>
    </row>
    <row r="100" spans="1:21" ht="141.75" customHeight="1" x14ac:dyDescent="0.45">
      <c r="A100" s="45" t="str">
        <f>Arbejdsark!A300</f>
        <v>Plandisponering</v>
      </c>
      <c r="B100" s="43" t="str">
        <f>Arbejdsark!$B$331</f>
        <v>8.7</v>
      </c>
      <c r="C100" s="45" t="str">
        <f>IF('Sortering af spørgsmål'!$C$22=Projektforudsætninger!$C$20,Arbejdsark!$C$331,"")</f>
        <v/>
      </c>
      <c r="D100" s="46">
        <f>Arbejdsark!D121</f>
        <v>0</v>
      </c>
      <c r="E100" s="45">
        <f>Arbejdsark!I121</f>
        <v>0</v>
      </c>
      <c r="F100" s="45">
        <f>Arbejdsark!J121</f>
        <v>0</v>
      </c>
      <c r="G100" s="45" t="e">
        <f>Arbejdsark!#REF!</f>
        <v>#REF!</v>
      </c>
      <c r="H100" s="45" t="e">
        <f>Arbejdsark!#REF!</f>
        <v>#REF!</v>
      </c>
      <c r="I100" s="45" t="str">
        <f>IF('Sortering af spørgsmål'!$C$22=Projektforudsætninger!$C$20,Arbejdsark!$K$331,"")</f>
        <v/>
      </c>
      <c r="J100" s="37" t="s">
        <v>9</v>
      </c>
      <c r="K100" s="41"/>
      <c r="L100" s="19"/>
      <c r="M100" s="19"/>
      <c r="N100" s="19"/>
      <c r="O100" s="19"/>
      <c r="P100" s="19"/>
      <c r="Q100" s="19"/>
      <c r="R100" s="19"/>
      <c r="S100" s="19"/>
      <c r="T100" s="19"/>
      <c r="U100" s="19"/>
    </row>
    <row r="101" spans="1:21" ht="141.75" customHeight="1" x14ac:dyDescent="0.45">
      <c r="A101" s="45" t="str">
        <f>Arbejdsark!A300</f>
        <v>Plandisponering</v>
      </c>
      <c r="B101" s="43" t="str">
        <f>Arbejdsark!$B$336</f>
        <v>8.8</v>
      </c>
      <c r="C101" s="45" t="str">
        <f>IF('Sortering af spørgsmål'!$C$22=Projektforudsætninger!$C$20,Arbejdsark!$C$336,"")</f>
        <v/>
      </c>
      <c r="D101" s="46">
        <f>Arbejdsark!D122</f>
        <v>0</v>
      </c>
      <c r="E101" s="45">
        <f>Arbejdsark!I122</f>
        <v>0</v>
      </c>
      <c r="F101" s="45">
        <f>Arbejdsark!J122</f>
        <v>0</v>
      </c>
      <c r="G101" s="45" t="e">
        <f>Arbejdsark!#REF!</f>
        <v>#REF!</v>
      </c>
      <c r="H101" s="45" t="e">
        <f>Arbejdsark!#REF!</f>
        <v>#REF!</v>
      </c>
      <c r="I101" s="45" t="str">
        <f>IF('Sortering af spørgsmål'!$C$22=Projektforudsætninger!$C$20,Arbejdsark!$K$336,"")</f>
        <v/>
      </c>
      <c r="J101" s="37" t="s">
        <v>9</v>
      </c>
      <c r="K101" s="41"/>
      <c r="L101" s="19"/>
      <c r="M101" s="19"/>
      <c r="N101" s="19"/>
      <c r="O101" s="19"/>
      <c r="P101" s="19"/>
      <c r="Q101" s="19"/>
      <c r="R101" s="19"/>
      <c r="S101" s="19"/>
      <c r="T101" s="19"/>
      <c r="U101" s="19"/>
    </row>
    <row r="102" spans="1:21" ht="141.75" customHeight="1" x14ac:dyDescent="0.45">
      <c r="A102" s="45" t="str">
        <f>Arbejdsark!A300</f>
        <v>Plandisponering</v>
      </c>
      <c r="B102" s="43" t="str">
        <f>Arbejdsark!$B$341</f>
        <v>8.9</v>
      </c>
      <c r="C102" s="45" t="str">
        <f>IF('Sortering af spørgsmål'!$C$22=Projektforudsætninger!$C$20,Arbejdsark!$C$341,"")</f>
        <v/>
      </c>
      <c r="D102" s="46">
        <f>Arbejdsark!D123</f>
        <v>0</v>
      </c>
      <c r="E102" s="45">
        <f>Arbejdsark!I123</f>
        <v>0</v>
      </c>
      <c r="F102" s="45">
        <f>Arbejdsark!J123</f>
        <v>0</v>
      </c>
      <c r="G102" s="45" t="e">
        <f>Arbejdsark!#REF!</f>
        <v>#REF!</v>
      </c>
      <c r="H102" s="45" t="e">
        <f>Arbejdsark!#REF!</f>
        <v>#REF!</v>
      </c>
      <c r="I102" s="45" t="str">
        <f>IF('Sortering af spørgsmål'!$C$22=Projektforudsætninger!$C$20,Arbejdsark!$K$341,"")</f>
        <v/>
      </c>
      <c r="J102" s="37" t="s">
        <v>9</v>
      </c>
      <c r="K102" s="41"/>
      <c r="L102" s="19"/>
      <c r="M102" s="19"/>
      <c r="N102" s="19"/>
      <c r="O102" s="19"/>
      <c r="P102" s="19"/>
      <c r="Q102" s="19"/>
      <c r="R102" s="19"/>
      <c r="S102" s="19"/>
      <c r="T102" s="19"/>
      <c r="U102" s="19"/>
    </row>
    <row r="103" spans="1:21" ht="141.75" customHeight="1" x14ac:dyDescent="0.45">
      <c r="A103" s="45" t="str">
        <f>Arbejdsark!A300</f>
        <v>Plandisponering</v>
      </c>
      <c r="B103" s="43" t="str">
        <f>Arbejdsark!$B$346</f>
        <v>8.10</v>
      </c>
      <c r="C103" s="45" t="str">
        <f>IF('Sortering af spørgsmål'!$C$22=Projektforudsætninger!$C$20,Arbejdsark!$C$346,"")</f>
        <v/>
      </c>
      <c r="D103" s="46" t="str">
        <f>Arbejdsark!D124</f>
        <v>ECO2.1
Vægtning: ECO2.1 pkt 1</v>
      </c>
      <c r="E103" s="45" t="str">
        <f>Arbejdsark!I124</f>
        <v>x</v>
      </c>
      <c r="F103" s="45">
        <f>Arbejdsark!J124</f>
        <v>0</v>
      </c>
      <c r="G103" s="45" t="e">
        <f>Arbejdsark!#REF!</f>
        <v>#REF!</v>
      </c>
      <c r="H103" s="45" t="e">
        <f>Arbejdsark!#REF!</f>
        <v>#REF!</v>
      </c>
      <c r="I103" s="45" t="str">
        <f>IF('Sortering af spørgsmål'!$C$22=Projektforudsætninger!$C$20,Arbejdsark!$K$346,"")</f>
        <v/>
      </c>
      <c r="J103" s="37" t="s">
        <v>9</v>
      </c>
      <c r="K103" s="41"/>
      <c r="L103" s="19"/>
      <c r="M103" s="19"/>
      <c r="N103" s="19"/>
      <c r="O103" s="19"/>
      <c r="P103" s="19"/>
      <c r="Q103" s="19"/>
      <c r="R103" s="19"/>
      <c r="S103" s="19"/>
      <c r="T103" s="19"/>
      <c r="U103" s="19"/>
    </row>
    <row r="104" spans="1:21" ht="56.85" customHeight="1" x14ac:dyDescent="0.45">
      <c r="A104" s="45" t="str">
        <f>Arbejdsark!A300</f>
        <v>Plandisponering</v>
      </c>
      <c r="B104" s="43" t="str">
        <f>Arbejdsark!$B$351</f>
        <v>8.11</v>
      </c>
      <c r="C104" s="45" t="str">
        <f>IF('Sortering af spørgsmål'!$C$22=Projektforudsætninger!$C$20,Arbejdsark!$C$351,"")</f>
        <v/>
      </c>
      <c r="D104" s="46"/>
      <c r="E104" s="45"/>
      <c r="F104" s="45"/>
      <c r="G104" s="45"/>
      <c r="H104" s="45"/>
      <c r="I104" s="45" t="str">
        <f>IF('Sortering af spørgsmål'!$C$22=Projektforudsætninger!$C$20,Arbejdsark!$K$351,"")</f>
        <v/>
      </c>
      <c r="J104" s="37" t="s">
        <v>9</v>
      </c>
      <c r="K104" s="41"/>
    </row>
    <row r="105" spans="1:21" ht="141.75" customHeight="1" x14ac:dyDescent="0.45">
      <c r="A105" s="45" t="str">
        <f>Arbejdsark!A300</f>
        <v>Plandisponering</v>
      </c>
      <c r="B105" s="43" t="str">
        <f>Arbejdsark!$B$356</f>
        <v>8.12</v>
      </c>
      <c r="C105" s="45" t="str">
        <f>IF('Sortering af spørgsmål'!$C$22=Projektforudsætninger!$C$20,Arbejdsark!$C$356,"")</f>
        <v/>
      </c>
      <c r="D105" s="46">
        <f>Arbejdsark!D125</f>
        <v>0</v>
      </c>
      <c r="E105" s="45">
        <f>Arbejdsark!I125</f>
        <v>0</v>
      </c>
      <c r="F105" s="45">
        <f>Arbejdsark!J125</f>
        <v>0</v>
      </c>
      <c r="G105" s="45" t="e">
        <f>Arbejdsark!#REF!</f>
        <v>#REF!</v>
      </c>
      <c r="H105" s="45" t="e">
        <f>Arbejdsark!#REF!</f>
        <v>#REF!</v>
      </c>
      <c r="I105" s="45" t="str">
        <f>IF('Sortering af spørgsmål'!$C$22=Projektforudsætninger!$C$20,Arbejdsark!$K$356,"")</f>
        <v/>
      </c>
      <c r="J105" s="37" t="s">
        <v>9</v>
      </c>
      <c r="K105" s="41"/>
    </row>
    <row r="106" spans="1:21" ht="141.75" customHeight="1" x14ac:dyDescent="0.45">
      <c r="A106" s="45" t="str">
        <f>Arbejdsark!A300</f>
        <v>Plandisponering</v>
      </c>
      <c r="B106" s="43" t="str">
        <f>Arbejdsark!$B$361</f>
        <v>8.13</v>
      </c>
      <c r="C106" s="45" t="str">
        <f>IF('Sortering af spørgsmål'!$C$22=Projektforudsætninger!$C$20,Arbejdsark!$C$361,"")</f>
        <v/>
      </c>
      <c r="D106" s="46">
        <f>Arbejdsark!D126</f>
        <v>0</v>
      </c>
      <c r="E106" s="45">
        <f>Arbejdsark!I126</f>
        <v>0</v>
      </c>
      <c r="F106" s="45">
        <f>Arbejdsark!J126</f>
        <v>0</v>
      </c>
      <c r="G106" s="45" t="e">
        <f>Arbejdsark!#REF!</f>
        <v>#REF!</v>
      </c>
      <c r="H106" s="45" t="e">
        <f>Arbejdsark!#REF!</f>
        <v>#REF!</v>
      </c>
      <c r="I106" s="45" t="str">
        <f>IF('Sortering af spørgsmål'!$C$22=Projektforudsætninger!$C$20,Arbejdsark!$K$361,"")</f>
        <v/>
      </c>
      <c r="J106" s="37" t="s">
        <v>9</v>
      </c>
      <c r="K106" s="37"/>
    </row>
    <row r="107" spans="1:21" ht="99.4" customHeight="1" x14ac:dyDescent="0.45">
      <c r="A107" s="45" t="str">
        <f>Arbejdsark!A300</f>
        <v>Plandisponering</v>
      </c>
      <c r="B107" s="43" t="str">
        <f>Arbejdsark!$B$366</f>
        <v>8.14</v>
      </c>
      <c r="C107" s="45" t="str">
        <f>IF('Sortering af spørgsmål'!$C$22=Projektforudsætninger!$C$20,Arbejdsark!$C$366,"")</f>
        <v/>
      </c>
      <c r="D107" s="46"/>
      <c r="E107" s="45"/>
      <c r="F107" s="45"/>
      <c r="G107" s="45"/>
      <c r="H107" s="45"/>
      <c r="I107" s="45" t="str">
        <f>IF('Sortering af spørgsmål'!$C$22=Projektforudsætninger!$C$20,Arbejdsark!$K$366,"")</f>
        <v/>
      </c>
      <c r="J107" s="37" t="s">
        <v>9</v>
      </c>
      <c r="K107" s="37"/>
    </row>
    <row r="108" spans="1:21" ht="85.15" customHeight="1" x14ac:dyDescent="0.45">
      <c r="A108" s="45" t="str">
        <f>Arbejdsark!A300</f>
        <v>Plandisponering</v>
      </c>
      <c r="B108" s="43" t="str">
        <f>Arbejdsark!$B$371</f>
        <v>8.15</v>
      </c>
      <c r="C108" s="45" t="str">
        <f>IF('Sortering af spørgsmål'!$C$22=Projektforudsætninger!$C$20,Arbejdsark!$C$371,"")</f>
        <v/>
      </c>
      <c r="D108" s="46">
        <f>Arbejdsark!D127</f>
        <v>0</v>
      </c>
      <c r="E108" s="45">
        <f>Arbejdsark!I127</f>
        <v>0</v>
      </c>
      <c r="F108" s="45">
        <f>Arbejdsark!J127</f>
        <v>0</v>
      </c>
      <c r="G108" s="45" t="e">
        <f>Arbejdsark!#REF!</f>
        <v>#REF!</v>
      </c>
      <c r="H108" s="45" t="e">
        <f>Arbejdsark!#REF!</f>
        <v>#REF!</v>
      </c>
      <c r="I108" s="45" t="str">
        <f>IF('Sortering af spørgsmål'!$C$22=Projektforudsætninger!$C$20,Arbejdsark!$K$371,"")</f>
        <v/>
      </c>
      <c r="J108" s="37" t="s">
        <v>9</v>
      </c>
      <c r="K108" s="37"/>
    </row>
    <row r="109" spans="1:21" x14ac:dyDescent="0.45">
      <c r="A109" s="45"/>
      <c r="B109" s="45"/>
      <c r="C109" s="45"/>
      <c r="D109" s="46"/>
      <c r="E109" s="45"/>
      <c r="F109" s="45"/>
      <c r="G109" s="45"/>
      <c r="H109" s="45"/>
      <c r="I109" s="45"/>
      <c r="J109" s="47"/>
      <c r="K109" s="48"/>
    </row>
    <row r="110" spans="1:21" x14ac:dyDescent="0.45">
      <c r="A110" s="274" t="str">
        <f>Arbejdsark!$A$376</f>
        <v>TEKNISK KVALITET</v>
      </c>
      <c r="B110" s="274"/>
      <c r="C110" s="274"/>
      <c r="D110" s="274"/>
      <c r="E110" s="274"/>
      <c r="F110" s="274"/>
      <c r="G110" s="274"/>
      <c r="H110" s="274"/>
      <c r="I110" s="275"/>
      <c r="J110" s="276"/>
      <c r="K110" s="277"/>
    </row>
    <row r="111" spans="1:21" ht="28.5" customHeight="1" x14ac:dyDescent="0.45">
      <c r="A111" s="45" t="str">
        <f t="shared" ref="A111:K111" si="3">A4</f>
        <v>Tema</v>
      </c>
      <c r="B111" s="58" t="str">
        <f t="shared" si="3"/>
        <v>ID</v>
      </c>
      <c r="C111" s="58" t="str">
        <f t="shared" si="3"/>
        <v>Emne</v>
      </c>
      <c r="D111" s="58" t="str">
        <f t="shared" si="3"/>
        <v>0</v>
      </c>
      <c r="E111" s="58" t="str">
        <f t="shared" si="3"/>
        <v>02</v>
      </c>
      <c r="F111" s="58" t="str">
        <f t="shared" si="3"/>
        <v>03</v>
      </c>
      <c r="G111" s="58" t="str">
        <f t="shared" si="3"/>
        <v>#REFERENCE!</v>
      </c>
      <c r="H111" s="58" t="str">
        <f t="shared" si="3"/>
        <v>04</v>
      </c>
      <c r="I111" s="58" t="str">
        <f t="shared" si="3"/>
        <v>Spørgsmål</v>
      </c>
      <c r="J111" s="59" t="str">
        <f t="shared" si="3"/>
        <v>Svar</v>
      </c>
      <c r="K111" s="60" t="str">
        <f t="shared" si="3"/>
        <v>Uddybende kommentarer</v>
      </c>
    </row>
    <row r="112" spans="1:21" ht="28.5" customHeight="1" x14ac:dyDescent="0.45">
      <c r="A112" s="274" t="str">
        <f>Arbejdsark!$A$378</f>
        <v>Personsikkerhed</v>
      </c>
      <c r="B112" s="274">
        <v>1</v>
      </c>
      <c r="C112" s="274"/>
      <c r="D112" s="274"/>
      <c r="E112" s="274"/>
      <c r="F112" s="274"/>
      <c r="G112" s="274"/>
      <c r="H112" s="274"/>
      <c r="I112" s="275" t="str">
        <f>IF('Sortering af spørgsmål'!$C$23=Projektforudsætninger!$C$20,"Udfyld spørgsmål","Ingen spørgsmål")</f>
        <v>Ingen spørgsmål</v>
      </c>
      <c r="J112" s="276"/>
      <c r="K112" s="277"/>
    </row>
    <row r="113" spans="1:11" ht="113.65" customHeight="1" x14ac:dyDescent="0.45">
      <c r="A113" s="45" t="str">
        <f>Arbejdsark!$A$378</f>
        <v>Personsikkerhed</v>
      </c>
      <c r="B113" s="43" t="str">
        <f>Arbejdsark!$B$378</f>
        <v>1.1</v>
      </c>
      <c r="C113" s="45" t="str">
        <f>IF('Sortering af spørgsmål'!$C$23=Projektforudsætninger!$C$20,Arbejdsark!$C$378,"")</f>
        <v/>
      </c>
      <c r="D113" s="46">
        <f>Arbejdsark!D132</f>
        <v>0</v>
      </c>
      <c r="E113" s="45">
        <f>Arbejdsark!I132</f>
        <v>0</v>
      </c>
      <c r="F113" s="45">
        <f>Arbejdsark!J132</f>
        <v>0</v>
      </c>
      <c r="G113" s="45" t="e">
        <f>Arbejdsark!#REF!</f>
        <v>#REF!</v>
      </c>
      <c r="H113" s="45" t="e">
        <f>Arbejdsark!#REF!</f>
        <v>#REF!</v>
      </c>
      <c r="I113" s="45" t="str">
        <f>IF('Sortering af spørgsmål'!$C$23=Projektforudsætninger!$C$20,Arbejdsark!$K$378,"")</f>
        <v/>
      </c>
      <c r="J113" s="37" t="s">
        <v>9</v>
      </c>
      <c r="K113" s="41"/>
    </row>
    <row r="114" spans="1:11" ht="113.65" customHeight="1" x14ac:dyDescent="0.45">
      <c r="A114" s="45" t="str">
        <f>Arbejdsark!$A$378</f>
        <v>Personsikkerhed</v>
      </c>
      <c r="B114" s="43" t="str">
        <f>Arbejdsark!$B$383</f>
        <v>1.2</v>
      </c>
      <c r="C114" s="45" t="str">
        <f>IF('Sortering af spørgsmål'!$C$23=Projektforudsætninger!$C$20,Arbejdsark!$C$383,"")</f>
        <v/>
      </c>
      <c r="D114" s="46"/>
      <c r="E114" s="45"/>
      <c r="F114" s="45"/>
      <c r="G114" s="45"/>
      <c r="H114" s="45"/>
      <c r="I114" s="45" t="str">
        <f>IF('Sortering af spørgsmål'!$C$23=Projektforudsætninger!$C$20,Arbejdsark!$K$383,"")</f>
        <v/>
      </c>
      <c r="J114" s="37" t="s">
        <v>9</v>
      </c>
      <c r="K114" s="650"/>
    </row>
    <row r="115" spans="1:11" x14ac:dyDescent="0.45">
      <c r="A115" s="45"/>
      <c r="B115" s="45"/>
      <c r="C115" s="45"/>
      <c r="D115" s="46"/>
      <c r="E115" s="45"/>
      <c r="F115" s="45"/>
      <c r="G115" s="45"/>
      <c r="H115" s="45"/>
      <c r="I115" s="45"/>
      <c r="J115" s="47"/>
      <c r="K115" s="48"/>
    </row>
    <row r="116" spans="1:11" ht="28.5" customHeight="1" x14ac:dyDescent="0.45">
      <c r="A116" s="274" t="str">
        <f>Arbejdsark!$A$388</f>
        <v>Klimaskærmens kvalitet</v>
      </c>
      <c r="B116" s="274">
        <v>2</v>
      </c>
      <c r="C116" s="274"/>
      <c r="D116" s="274"/>
      <c r="E116" s="274"/>
      <c r="F116" s="274"/>
      <c r="G116" s="274"/>
      <c r="H116" s="274"/>
      <c r="I116" s="275" t="str">
        <f>IF('Sortering af spørgsmål'!$C$24=Projektforudsætninger!$C$20,"Udfyld spørgsmål","Ingen spørgsmål")</f>
        <v>Ingen spørgsmål</v>
      </c>
      <c r="J116" s="276"/>
      <c r="K116" s="277"/>
    </row>
    <row r="117" spans="1:11" ht="113.65" customHeight="1" x14ac:dyDescent="0.45">
      <c r="A117" s="45" t="str">
        <f>Arbejdsark!$A$388</f>
        <v>Klimaskærmens kvalitet</v>
      </c>
      <c r="B117" s="43" t="str">
        <f>Arbejdsark!$B$388</f>
        <v>2.1</v>
      </c>
      <c r="C117" s="45" t="str">
        <f>IF('Sortering af spørgsmål'!$C$24=Projektforudsætninger!$C$20,Arbejdsark!$C$388,"")</f>
        <v/>
      </c>
      <c r="D117" s="46">
        <f>Arbejdsark!D137</f>
        <v>0</v>
      </c>
      <c r="E117" s="45">
        <f>Arbejdsark!I137</f>
        <v>0</v>
      </c>
      <c r="F117" s="45">
        <f>Arbejdsark!J137</f>
        <v>0</v>
      </c>
      <c r="G117" s="45" t="e">
        <f>Arbejdsark!#REF!</f>
        <v>#REF!</v>
      </c>
      <c r="H117" s="45" t="e">
        <f>Arbejdsark!#REF!</f>
        <v>#REF!</v>
      </c>
      <c r="I117" s="45" t="str">
        <f>IF('Sortering af spørgsmål'!$C$24=Projektforudsætninger!$C$20,Arbejdsark!$K$388,"")</f>
        <v/>
      </c>
      <c r="J117" s="37" t="s">
        <v>9</v>
      </c>
      <c r="K117" s="41"/>
    </row>
    <row r="118" spans="1:11" ht="113.65" customHeight="1" x14ac:dyDescent="0.45">
      <c r="A118" s="45" t="str">
        <f>Arbejdsark!$A$388</f>
        <v>Klimaskærmens kvalitet</v>
      </c>
      <c r="B118" s="43" t="str">
        <f>Arbejdsark!$B$393</f>
        <v>2.2</v>
      </c>
      <c r="C118" s="45" t="str">
        <f>IF('Sortering af spørgsmål'!$C$24=Projektforudsætninger!$C$20,Arbejdsark!$C$393,"")</f>
        <v/>
      </c>
      <c r="D118" s="46">
        <f>Arbejdsark!D138</f>
        <v>0</v>
      </c>
      <c r="E118" s="45">
        <f>Arbejdsark!I138</f>
        <v>0</v>
      </c>
      <c r="F118" s="45">
        <f>Arbejdsark!J138</f>
        <v>0</v>
      </c>
      <c r="G118" s="45" t="e">
        <f>Arbejdsark!#REF!</f>
        <v>#REF!</v>
      </c>
      <c r="H118" s="45" t="e">
        <f>Arbejdsark!#REF!</f>
        <v>#REF!</v>
      </c>
      <c r="I118" s="45" t="str">
        <f>IF('Sortering af spørgsmål'!$C$24=Projektforudsætninger!$C$20,Arbejdsark!$K$393,"")</f>
        <v/>
      </c>
      <c r="J118" s="37" t="s">
        <v>9</v>
      </c>
      <c r="K118" s="41"/>
    </row>
    <row r="119" spans="1:11" ht="113.65" customHeight="1" x14ac:dyDescent="0.45">
      <c r="A119" s="45" t="str">
        <f>Arbejdsark!$A$388</f>
        <v>Klimaskærmens kvalitet</v>
      </c>
      <c r="B119" s="43" t="str">
        <f>Arbejdsark!$B$398</f>
        <v>2.3</v>
      </c>
      <c r="C119" s="45" t="str">
        <f>IF('Sortering af spørgsmål'!$C$24=Projektforudsætninger!$C$20,Arbejdsark!$C$398,"")</f>
        <v/>
      </c>
      <c r="D119" s="46" t="str">
        <f>Arbejdsark!D139</f>
        <v>ECO2.1 + TEC1.4
Vægtning: ECO2.1 pkt. 7.1, 7.2 og 7.3 + TEC1.4 pkt. 1.1, 1.2 og 1.3</v>
      </c>
      <c r="E119" s="45" t="str">
        <f>Arbejdsark!I139</f>
        <v>x</v>
      </c>
      <c r="F119" s="45">
        <f>Arbejdsark!J139</f>
        <v>0</v>
      </c>
      <c r="G119" s="45" t="e">
        <f>Arbejdsark!#REF!</f>
        <v>#REF!</v>
      </c>
      <c r="H119" s="45" t="e">
        <f>Arbejdsark!#REF!</f>
        <v>#REF!</v>
      </c>
      <c r="I119" s="45" t="str">
        <f>IF('Sortering af spørgsmål'!$C$24=Projektforudsætninger!$C$20,Arbejdsark!$K$398,"")</f>
        <v/>
      </c>
      <c r="J119" s="37" t="s">
        <v>9</v>
      </c>
      <c r="K119" s="41"/>
    </row>
    <row r="120" spans="1:11" ht="113.65" customHeight="1" x14ac:dyDescent="0.45">
      <c r="A120" s="45" t="str">
        <f>Arbejdsark!$A$388</f>
        <v>Klimaskærmens kvalitet</v>
      </c>
      <c r="B120" s="43" t="str">
        <f>Arbejdsark!$B$403</f>
        <v>2.4</v>
      </c>
      <c r="C120" s="45" t="str">
        <f>IF('Sortering af spørgsmål'!$C$24=Projektforudsætninger!$C$20,Arbejdsark!$C$403,"")</f>
        <v/>
      </c>
      <c r="D120" s="46">
        <f>Arbejdsark!D140</f>
        <v>0</v>
      </c>
      <c r="E120" s="45">
        <f>Arbejdsark!I140</f>
        <v>0</v>
      </c>
      <c r="F120" s="45">
        <f>Arbejdsark!J140</f>
        <v>0</v>
      </c>
      <c r="G120" s="45" t="e">
        <f>Arbejdsark!#REF!</f>
        <v>#REF!</v>
      </c>
      <c r="H120" s="45" t="e">
        <f>Arbejdsark!#REF!</f>
        <v>#REF!</v>
      </c>
      <c r="I120" s="45" t="str">
        <f>IF('Sortering af spørgsmål'!$C$24=Projektforudsætninger!$C$20,Arbejdsark!$K$403,"")</f>
        <v/>
      </c>
      <c r="J120" s="37" t="s">
        <v>9</v>
      </c>
      <c r="K120" s="41"/>
    </row>
    <row r="121" spans="1:11" ht="113.65" customHeight="1" x14ac:dyDescent="0.45">
      <c r="A121" s="45" t="str">
        <f>Arbejdsark!$A$388</f>
        <v>Klimaskærmens kvalitet</v>
      </c>
      <c r="B121" s="43" t="str">
        <f>Arbejdsark!$B$408</f>
        <v>2.5</v>
      </c>
      <c r="C121" s="45" t="str">
        <f>IF('Sortering af spørgsmål'!$C$24=Projektforudsætninger!$C$20,Arbejdsark!$C$408,"")</f>
        <v/>
      </c>
      <c r="D121" s="46"/>
      <c r="E121" s="45"/>
      <c r="F121" s="45"/>
      <c r="G121" s="45"/>
      <c r="H121" s="45"/>
      <c r="I121" s="45" t="str">
        <f>IF('Sortering af spørgsmål'!$C$24=Projektforudsætninger!$C$20,Arbejdsark!$K$408,"")</f>
        <v/>
      </c>
      <c r="J121" s="37" t="s">
        <v>9</v>
      </c>
      <c r="K121" s="41"/>
    </row>
    <row r="122" spans="1:11" ht="113.65" customHeight="1" x14ac:dyDescent="0.45">
      <c r="A122" s="45" t="str">
        <f>Arbejdsark!$A$388</f>
        <v>Klimaskærmens kvalitet</v>
      </c>
      <c r="B122" s="43" t="str">
        <f>Arbejdsark!$B$413</f>
        <v>2.6</v>
      </c>
      <c r="C122" s="45" t="str">
        <f>IF('Sortering af spørgsmål'!$C$24=Projektforudsætninger!$C$20,Arbejdsark!$C$413,"")</f>
        <v/>
      </c>
      <c r="D122" s="46">
        <f>Arbejdsark!D141</f>
        <v>0</v>
      </c>
      <c r="E122" s="45">
        <f>Arbejdsark!I141</f>
        <v>0</v>
      </c>
      <c r="F122" s="45">
        <f>Arbejdsark!J141</f>
        <v>0</v>
      </c>
      <c r="G122" s="45" t="e">
        <f>Arbejdsark!#REF!</f>
        <v>#REF!</v>
      </c>
      <c r="H122" s="45" t="e">
        <f>Arbejdsark!#REF!</f>
        <v>#REF!</v>
      </c>
      <c r="I122" s="45" t="str">
        <f>IF('Sortering af spørgsmål'!$C$24=Projektforudsætninger!$C$20,Arbejdsark!$K$413,"")</f>
        <v/>
      </c>
      <c r="J122" s="37" t="s">
        <v>9</v>
      </c>
      <c r="K122" s="41"/>
    </row>
    <row r="123" spans="1:11" ht="113.65" customHeight="1" x14ac:dyDescent="0.45">
      <c r="A123" s="45" t="str">
        <f>Arbejdsark!$A$388</f>
        <v>Klimaskærmens kvalitet</v>
      </c>
      <c r="B123" s="43" t="str">
        <f>Arbejdsark!$B$418</f>
        <v>2.7</v>
      </c>
      <c r="C123" s="45" t="str">
        <f>IF('Sortering af spørgsmål'!$C$24=Projektforudsætninger!$C$20,Arbejdsark!$C$418,"")</f>
        <v/>
      </c>
      <c r="D123" s="46">
        <f>Arbejdsark!D142</f>
        <v>0</v>
      </c>
      <c r="E123" s="45">
        <f>Arbejdsark!I142</f>
        <v>0</v>
      </c>
      <c r="F123" s="45">
        <f>Arbejdsark!J142</f>
        <v>0</v>
      </c>
      <c r="G123" s="45" t="e">
        <f>Arbejdsark!#REF!</f>
        <v>#REF!</v>
      </c>
      <c r="H123" s="45" t="e">
        <f>Arbejdsark!#REF!</f>
        <v>#REF!</v>
      </c>
      <c r="I123" s="45" t="str">
        <f>IF('Sortering af spørgsmål'!$C$24=Projektforudsætninger!$C$20,Arbejdsark!$K$418,"")</f>
        <v/>
      </c>
      <c r="J123" s="37" t="s">
        <v>9</v>
      </c>
      <c r="K123" s="41"/>
    </row>
    <row r="124" spans="1:11" x14ac:dyDescent="0.45">
      <c r="A124" s="45"/>
      <c r="B124" s="45"/>
      <c r="C124" s="45"/>
      <c r="D124" s="46"/>
      <c r="E124" s="45"/>
      <c r="F124" s="45"/>
      <c r="G124" s="45"/>
      <c r="H124" s="45"/>
      <c r="I124" s="45"/>
      <c r="J124" s="47"/>
      <c r="K124" s="48"/>
    </row>
    <row r="125" spans="1:11" ht="28.5" customHeight="1" x14ac:dyDescent="0.45">
      <c r="A125" s="274" t="str">
        <f>Arbejdsark!$A$424</f>
        <v>Renhold og vedligehold</v>
      </c>
      <c r="B125" s="274">
        <v>3</v>
      </c>
      <c r="C125" s="274"/>
      <c r="D125" s="274"/>
      <c r="E125" s="274"/>
      <c r="F125" s="274"/>
      <c r="G125" s="274"/>
      <c r="H125" s="274"/>
      <c r="I125" s="275" t="str">
        <f>IF('Sortering af spørgsmål'!$C$25=Projektforudsætninger!$C$20,"Udfyld spørgsmål","Ingen spørgsmål")</f>
        <v>Ingen spørgsmål</v>
      </c>
      <c r="J125" s="276"/>
      <c r="K125" s="277"/>
    </row>
    <row r="126" spans="1:11" ht="113.65" customHeight="1" x14ac:dyDescent="0.45">
      <c r="A126" s="45" t="str">
        <f>Arbejdsark!$A$424</f>
        <v>Renhold og vedligehold</v>
      </c>
      <c r="B126" s="43" t="str">
        <f>Arbejdsark!$B$424</f>
        <v>3.1</v>
      </c>
      <c r="C126" s="45" t="str">
        <f>IF('Sortering af spørgsmål'!$C$25=Projektforudsætninger!$C$20,Arbejdsark!$C$424,"")</f>
        <v/>
      </c>
      <c r="D126" s="46">
        <f>Arbejdsark!D146</f>
        <v>0</v>
      </c>
      <c r="E126" s="45">
        <f>Arbejdsark!I146</f>
        <v>0</v>
      </c>
      <c r="F126" s="45">
        <f>Arbejdsark!J146</f>
        <v>0</v>
      </c>
      <c r="G126" s="45" t="e">
        <f>Arbejdsark!#REF!</f>
        <v>#REF!</v>
      </c>
      <c r="H126" s="45" t="e">
        <f>Arbejdsark!#REF!</f>
        <v>#REF!</v>
      </c>
      <c r="I126" s="45" t="str">
        <f>IF('Sortering af spørgsmål'!$C$25=Projektforudsætninger!$C$20,Arbejdsark!$K$424,"")</f>
        <v/>
      </c>
      <c r="J126" s="37" t="s">
        <v>9</v>
      </c>
      <c r="K126" s="41"/>
    </row>
    <row r="127" spans="1:11" ht="113.65" customHeight="1" x14ac:dyDescent="0.45">
      <c r="A127" s="45" t="str">
        <f>Arbejdsark!$A$424</f>
        <v>Renhold og vedligehold</v>
      </c>
      <c r="B127" s="43" t="str">
        <f>Arbejdsark!$B$429</f>
        <v>3.2</v>
      </c>
      <c r="C127" s="45" t="str">
        <f>IF('Sortering af spørgsmål'!$C$25=Projektforudsætninger!$C$20,Arbejdsark!$C$429,"")</f>
        <v/>
      </c>
      <c r="D127" s="46">
        <f>Arbejdsark!D147</f>
        <v>0</v>
      </c>
      <c r="E127" s="45">
        <f>Arbejdsark!I147</f>
        <v>0</v>
      </c>
      <c r="F127" s="45">
        <f>Arbejdsark!J147</f>
        <v>0</v>
      </c>
      <c r="G127" s="45" t="e">
        <f>Arbejdsark!#REF!</f>
        <v>#REF!</v>
      </c>
      <c r="H127" s="45" t="e">
        <f>Arbejdsark!#REF!</f>
        <v>#REF!</v>
      </c>
      <c r="I127" s="45" t="str">
        <f>IF('Sortering af spørgsmål'!$C$25=Projektforudsætninger!$C$20,Arbejdsark!$K$429,"")</f>
        <v/>
      </c>
      <c r="J127" s="37" t="s">
        <v>9</v>
      </c>
      <c r="K127" s="41"/>
    </row>
    <row r="128" spans="1:11" ht="170.25" customHeight="1" x14ac:dyDescent="0.45">
      <c r="A128" s="45" t="str">
        <f>Arbejdsark!$A$424</f>
        <v>Renhold og vedligehold</v>
      </c>
      <c r="B128" s="43" t="str">
        <f>Arbejdsark!$B$434</f>
        <v>3.3</v>
      </c>
      <c r="C128" s="45" t="str">
        <f>IF('Sortering af spørgsmål'!$C$25=Projektforudsætninger!$C$20,Arbejdsark!$C$434,"")</f>
        <v/>
      </c>
      <c r="D128" s="46">
        <f>Arbejdsark!D148</f>
        <v>0</v>
      </c>
      <c r="E128" s="45">
        <f>Arbejdsark!I148</f>
        <v>0</v>
      </c>
      <c r="F128" s="45">
        <f>Arbejdsark!J148</f>
        <v>0</v>
      </c>
      <c r="G128" s="45" t="e">
        <f>Arbejdsark!#REF!</f>
        <v>#REF!</v>
      </c>
      <c r="H128" s="45" t="e">
        <f>Arbejdsark!#REF!</f>
        <v>#REF!</v>
      </c>
      <c r="I128" s="45" t="str">
        <f>IF('Sortering af spørgsmål'!$C$25=Projektforudsætninger!$C$20,Arbejdsark!$K$434,"")</f>
        <v/>
      </c>
      <c r="J128" s="37" t="s">
        <v>9</v>
      </c>
      <c r="K128" s="41"/>
    </row>
    <row r="129" spans="1:11" ht="113.65" customHeight="1" x14ac:dyDescent="0.45">
      <c r="A129" s="45" t="str">
        <f>Arbejdsark!$A$424</f>
        <v>Renhold og vedligehold</v>
      </c>
      <c r="B129" s="43" t="str">
        <f>Arbejdsark!$B$439</f>
        <v>3.4</v>
      </c>
      <c r="C129" s="45" t="str">
        <f>IF('Sortering af spørgsmål'!$C$25=Projektforudsætninger!$C$20,Arbejdsark!$C$439,"")</f>
        <v/>
      </c>
      <c r="D129" s="46" t="str">
        <f>Arbejdsark!D149</f>
        <v>ECO2.1
Vægtning: 25 % af ECO2.1 pkt. 6</v>
      </c>
      <c r="E129" s="45" t="str">
        <f>Arbejdsark!I149</f>
        <v>x</v>
      </c>
      <c r="F129" s="45">
        <f>Arbejdsark!J149</f>
        <v>0</v>
      </c>
      <c r="G129" s="45" t="e">
        <f>Arbejdsark!#REF!</f>
        <v>#REF!</v>
      </c>
      <c r="H129" s="45" t="e">
        <f>Arbejdsark!#REF!</f>
        <v>#REF!</v>
      </c>
      <c r="I129" s="45" t="str">
        <f>IF('Sortering af spørgsmål'!$C$25=Projektforudsætninger!$C$20,Arbejdsark!$K$439,"")</f>
        <v/>
      </c>
      <c r="J129" s="37" t="s">
        <v>9</v>
      </c>
      <c r="K129" s="41"/>
    </row>
    <row r="130" spans="1:11" ht="170.25" customHeight="1" x14ac:dyDescent="0.45">
      <c r="A130" s="45" t="str">
        <f>Arbejdsark!$A$424</f>
        <v>Renhold og vedligehold</v>
      </c>
      <c r="B130" s="43" t="str">
        <f>Arbejdsark!$B$444</f>
        <v>3.5</v>
      </c>
      <c r="C130" s="45" t="str">
        <f>IF('Sortering af spørgsmål'!$C$25=Projektforudsætninger!$C$20,Arbejdsark!$C$444,"")</f>
        <v/>
      </c>
      <c r="D130" s="46">
        <f>Arbejdsark!D150</f>
        <v>0</v>
      </c>
      <c r="E130" s="45">
        <f>Arbejdsark!I150</f>
        <v>0</v>
      </c>
      <c r="F130" s="45">
        <f>Arbejdsark!J150</f>
        <v>0</v>
      </c>
      <c r="G130" s="45" t="e">
        <f>Arbejdsark!#REF!</f>
        <v>#REF!</v>
      </c>
      <c r="H130" s="45" t="e">
        <f>Arbejdsark!#REF!</f>
        <v>#REF!</v>
      </c>
      <c r="I130" s="45" t="str">
        <f>IF('Sortering af spørgsmål'!$C$25=Projektforudsætninger!$C$20,Arbejdsark!$K$444,"")</f>
        <v/>
      </c>
      <c r="J130" s="37" t="s">
        <v>9</v>
      </c>
      <c r="K130" s="41"/>
    </row>
    <row r="131" spans="1:11" x14ac:dyDescent="0.45">
      <c r="A131" s="45" t="str">
        <f>Arbejdsark!$A$424</f>
        <v>Renhold og vedligehold</v>
      </c>
      <c r="B131" s="43" t="str">
        <f>Arbejdsark!$B$449</f>
        <v>3.6</v>
      </c>
      <c r="C131" s="45" t="str">
        <f>IF('Sortering af spørgsmål'!$C$25=Projektforudsætninger!$C$20,Arbejdsark!$C$449,"")</f>
        <v/>
      </c>
      <c r="D131" s="46">
        <f>Arbejdsark!D151</f>
        <v>0</v>
      </c>
      <c r="E131" s="45">
        <f>Arbejdsark!I151</f>
        <v>0</v>
      </c>
      <c r="F131" s="45">
        <f>Arbejdsark!J151</f>
        <v>0</v>
      </c>
      <c r="G131" s="45" t="e">
        <f>Arbejdsark!#REF!</f>
        <v>#REF!</v>
      </c>
      <c r="H131" s="45" t="e">
        <f>Arbejdsark!#REF!</f>
        <v>#REF!</v>
      </c>
      <c r="I131" s="45" t="str">
        <f>IF('Sortering af spørgsmål'!$C$25=Projektforudsætninger!$C$20,Arbejdsark!$K$449,"")</f>
        <v/>
      </c>
      <c r="J131" s="37" t="s">
        <v>9</v>
      </c>
      <c r="K131" s="41"/>
    </row>
    <row r="132" spans="1:11" x14ac:dyDescent="0.45">
      <c r="A132" s="45"/>
      <c r="B132" s="61"/>
      <c r="C132" s="45"/>
      <c r="D132" s="46"/>
      <c r="E132" s="45"/>
      <c r="F132" s="45"/>
      <c r="G132" s="45"/>
      <c r="H132" s="45"/>
      <c r="I132" s="45"/>
      <c r="J132" s="316"/>
      <c r="K132" s="317"/>
    </row>
    <row r="133" spans="1:11" x14ac:dyDescent="0.45">
      <c r="A133" s="313" t="str">
        <f>Arbejdsark!A$455</f>
        <v>Idriftsættelse</v>
      </c>
      <c r="B133" s="313">
        <v>4</v>
      </c>
      <c r="C133" s="313"/>
      <c r="D133" s="313"/>
      <c r="E133" s="313"/>
      <c r="F133" s="313"/>
      <c r="G133" s="313"/>
      <c r="H133" s="313"/>
      <c r="I133" s="313" t="str">
        <f>IF('Sortering af spørgsmål'!$C$33=Projektforudsætninger!$C$20,"Udfyld spørgsmål","Ingen spørgsmål")</f>
        <v>Ingen spørgsmål</v>
      </c>
      <c r="J133" s="314"/>
      <c r="K133" s="315"/>
    </row>
    <row r="134" spans="1:11" x14ac:dyDescent="0.45">
      <c r="A134" s="45" t="str">
        <f>Arbejdsark!A$455</f>
        <v>Idriftsættelse</v>
      </c>
      <c r="B134" s="43" t="str">
        <f>Arbejdsark!$B$455</f>
        <v>4.1</v>
      </c>
      <c r="C134" s="45" t="str">
        <f>IF('Sortering af spørgsmål'!$C$33=Projektforudsætninger!$C$20,Arbejdsark!$C$455,"")</f>
        <v/>
      </c>
      <c r="D134" s="46">
        <f>Arbejdsark!D179</f>
        <v>0</v>
      </c>
      <c r="E134" s="45">
        <f>Arbejdsark!I179</f>
        <v>0</v>
      </c>
      <c r="F134" s="45">
        <f>Arbejdsark!J179</f>
        <v>0</v>
      </c>
      <c r="G134" s="45" t="e">
        <f>Arbejdsark!#REF!</f>
        <v>#REF!</v>
      </c>
      <c r="H134" s="45" t="e">
        <f>Arbejdsark!#REF!</f>
        <v>#REF!</v>
      </c>
      <c r="I134" s="45" t="str">
        <f>IF('Sortering af spørgsmål'!$C$33=Projektforudsætninger!$C$20,Arbejdsark!$K$455,"")</f>
        <v/>
      </c>
      <c r="J134" s="37" t="s">
        <v>9</v>
      </c>
      <c r="K134" s="41"/>
    </row>
    <row r="135" spans="1:11" x14ac:dyDescent="0.45">
      <c r="A135" s="45"/>
      <c r="B135" s="45"/>
      <c r="C135" s="45"/>
      <c r="D135" s="46"/>
      <c r="E135" s="45"/>
      <c r="F135" s="45"/>
      <c r="G135" s="45"/>
      <c r="H135" s="45"/>
      <c r="I135" s="45"/>
      <c r="J135" s="47"/>
      <c r="K135" s="48"/>
    </row>
    <row r="136" spans="1:11" x14ac:dyDescent="0.45">
      <c r="A136" s="62" t="str">
        <f>Arbejdsark!$A$460</f>
        <v>PROCES KVALITET</v>
      </c>
      <c r="B136" s="62"/>
      <c r="C136" s="62"/>
      <c r="D136" s="62"/>
      <c r="E136" s="62"/>
      <c r="F136" s="62"/>
      <c r="G136" s="62"/>
      <c r="H136" s="62"/>
      <c r="I136" s="63"/>
      <c r="J136" s="64"/>
      <c r="K136" s="65"/>
    </row>
    <row r="137" spans="1:11" ht="28.5" customHeight="1" x14ac:dyDescent="0.45">
      <c r="A137" s="45" t="str">
        <f t="shared" ref="A137:K137" si="4">A4</f>
        <v>Tema</v>
      </c>
      <c r="B137" s="58" t="str">
        <f t="shared" si="4"/>
        <v>ID</v>
      </c>
      <c r="C137" s="58" t="str">
        <f t="shared" si="4"/>
        <v>Emne</v>
      </c>
      <c r="D137" s="58" t="str">
        <f t="shared" si="4"/>
        <v>0</v>
      </c>
      <c r="E137" s="58" t="str">
        <f t="shared" si="4"/>
        <v>02</v>
      </c>
      <c r="F137" s="58" t="str">
        <f t="shared" si="4"/>
        <v>03</v>
      </c>
      <c r="G137" s="58" t="str">
        <f t="shared" si="4"/>
        <v>#REFERENCE!</v>
      </c>
      <c r="H137" s="58" t="str">
        <f t="shared" si="4"/>
        <v>04</v>
      </c>
      <c r="I137" s="58" t="str">
        <f t="shared" si="4"/>
        <v>Spørgsmål</v>
      </c>
      <c r="J137" s="59" t="str">
        <f t="shared" si="4"/>
        <v>Svar</v>
      </c>
      <c r="K137" s="60" t="str">
        <f t="shared" si="4"/>
        <v>Uddybende kommentarer</v>
      </c>
    </row>
    <row r="138" spans="1:11" ht="28.5" customHeight="1" x14ac:dyDescent="0.45">
      <c r="A138" s="63" t="str">
        <f>Arbejdsark!$A$462</f>
        <v>Byggeprogram</v>
      </c>
      <c r="B138" s="63">
        <v>1</v>
      </c>
      <c r="C138" s="63"/>
      <c r="D138" s="63"/>
      <c r="E138" s="63"/>
      <c r="F138" s="63"/>
      <c r="G138" s="63"/>
      <c r="H138" s="63"/>
      <c r="I138" s="63" t="str">
        <f>IF('Sortering af spørgsmål'!$C$26=Projektforudsætninger!$C$20,"Udfyld spørgsmål","Ingen spørgsmål")</f>
        <v>Ingen spørgsmål</v>
      </c>
      <c r="J138" s="64"/>
      <c r="K138" s="65"/>
    </row>
    <row r="139" spans="1:11" ht="113.65" customHeight="1" x14ac:dyDescent="0.45">
      <c r="A139" s="45" t="str">
        <f>Arbejdsark!$A$462</f>
        <v>Byggeprogram</v>
      </c>
      <c r="B139" s="43" t="str">
        <f>Arbejdsark!$B$462</f>
        <v>1.1</v>
      </c>
      <c r="C139" s="45" t="str">
        <f>IF('Sortering af spørgsmål'!$C$26=Projektforudsætninger!$C$20,Arbejdsark!$C$462,"")</f>
        <v/>
      </c>
      <c r="D139" s="46">
        <f>Arbejdsark!D156</f>
        <v>0</v>
      </c>
      <c r="E139" s="45">
        <f>Arbejdsark!I156</f>
        <v>0</v>
      </c>
      <c r="F139" s="45">
        <f>Arbejdsark!J156</f>
        <v>0</v>
      </c>
      <c r="G139" s="45" t="e">
        <f>Arbejdsark!#REF!</f>
        <v>#REF!</v>
      </c>
      <c r="H139" s="45" t="e">
        <f>Arbejdsark!#REF!</f>
        <v>#REF!</v>
      </c>
      <c r="I139" s="45" t="str">
        <f>IF('Sortering af spørgsmål'!$C$26=Projektforudsætninger!$C$20,Arbejdsark!$K$462,"")</f>
        <v/>
      </c>
      <c r="J139" s="37" t="s">
        <v>9</v>
      </c>
      <c r="K139" s="41"/>
    </row>
    <row r="140" spans="1:11" x14ac:dyDescent="0.45">
      <c r="A140" s="45"/>
      <c r="B140" s="45"/>
      <c r="C140" s="45"/>
      <c r="D140" s="46"/>
      <c r="E140" s="45"/>
      <c r="F140" s="45"/>
      <c r="G140" s="45"/>
      <c r="H140" s="45"/>
      <c r="I140" s="45"/>
      <c r="J140" s="47"/>
      <c r="K140" s="48"/>
    </row>
    <row r="141" spans="1:11" ht="28.5" customHeight="1" x14ac:dyDescent="0.45">
      <c r="A141" s="63" t="str">
        <f>Arbejdsark!$A$467</f>
        <v>Integreret designproces</v>
      </c>
      <c r="B141" s="63">
        <v>2</v>
      </c>
      <c r="C141" s="63"/>
      <c r="D141" s="63"/>
      <c r="E141" s="63"/>
      <c r="F141" s="63"/>
      <c r="G141" s="63"/>
      <c r="H141" s="63"/>
      <c r="I141" s="63" t="str">
        <f>IF('Sortering af spørgsmål'!$C$27=Projektforudsætninger!$C$20,"Udfyld spørgsmål","Ingen spørgsmål")</f>
        <v>Ingen spørgsmål</v>
      </c>
      <c r="J141" s="64"/>
      <c r="K141" s="65"/>
    </row>
    <row r="142" spans="1:11" ht="113.65" customHeight="1" x14ac:dyDescent="0.45">
      <c r="A142" s="45" t="str">
        <f>Arbejdsark!$A$467</f>
        <v>Integreret designproces</v>
      </c>
      <c r="B142" s="43" t="str">
        <f>Arbejdsark!$B$467</f>
        <v>2.1</v>
      </c>
      <c r="C142" s="45" t="str">
        <f>IF('Sortering af spørgsmål'!$C$27=Projektforudsætninger!$C$20,Arbejdsark!$C$467,"")</f>
        <v/>
      </c>
      <c r="D142" s="46">
        <f>Arbejdsark!D158</f>
        <v>0</v>
      </c>
      <c r="E142" s="45">
        <f>Arbejdsark!I158</f>
        <v>0</v>
      </c>
      <c r="F142" s="45">
        <f>Arbejdsark!J158</f>
        <v>0</v>
      </c>
      <c r="G142" s="45" t="e">
        <f>Arbejdsark!#REF!</f>
        <v>#REF!</v>
      </c>
      <c r="H142" s="45" t="e">
        <f>Arbejdsark!#REF!</f>
        <v>#REF!</v>
      </c>
      <c r="I142" s="45" t="str">
        <f>IF('Sortering af spørgsmål'!$C$27=Projektforudsætninger!$C$20,Arbejdsark!$K$467,"")</f>
        <v/>
      </c>
      <c r="J142" s="37" t="s">
        <v>9</v>
      </c>
      <c r="K142" s="41"/>
    </row>
    <row r="143" spans="1:11" ht="113.65" customHeight="1" x14ac:dyDescent="0.45">
      <c r="A143" s="45" t="str">
        <f>Arbejdsark!$A$467</f>
        <v>Integreret designproces</v>
      </c>
      <c r="B143" s="43" t="str">
        <f>Arbejdsark!$B$472</f>
        <v>2.2</v>
      </c>
      <c r="C143" s="45" t="str">
        <f>IF('Sortering af spørgsmål'!$C$27=Projektforudsætninger!$C$20,Arbejdsark!$C$472,"")</f>
        <v/>
      </c>
      <c r="D143" s="46" t="str">
        <f>Arbejdsark!D159</f>
        <v>ECO2.2
Vægtning: ECO2.2 pkt. 2</v>
      </c>
      <c r="E143" s="45" t="str">
        <f>Arbejdsark!I159</f>
        <v>x</v>
      </c>
      <c r="F143" s="45">
        <f>Arbejdsark!J159</f>
        <v>0</v>
      </c>
      <c r="G143" s="45" t="e">
        <f>Arbejdsark!#REF!</f>
        <v>#REF!</v>
      </c>
      <c r="H143" s="45" t="e">
        <f>Arbejdsark!#REF!</f>
        <v>#REF!</v>
      </c>
      <c r="I143" s="45" t="str">
        <f>IF('Sortering af spørgsmål'!$C$27=Projektforudsætninger!$C$20,Arbejdsark!$K$472,"")</f>
        <v/>
      </c>
      <c r="J143" s="37" t="s">
        <v>9</v>
      </c>
      <c r="K143" s="41"/>
    </row>
    <row r="144" spans="1:11" ht="113.65" customHeight="1" x14ac:dyDescent="0.45">
      <c r="A144" s="45" t="str">
        <f>Arbejdsark!$A$467</f>
        <v>Integreret designproces</v>
      </c>
      <c r="B144" s="43" t="str">
        <f>Arbejdsark!$B$477</f>
        <v>2.3</v>
      </c>
      <c r="C144" s="45" t="str">
        <f>IF('Sortering af spørgsmål'!$C$27=Projektforudsætninger!$C$20,Arbejdsark!$C$477,"")</f>
        <v/>
      </c>
      <c r="D144" s="46">
        <f>Arbejdsark!D160</f>
        <v>0</v>
      </c>
      <c r="E144" s="45">
        <f>Arbejdsark!I160</f>
        <v>0</v>
      </c>
      <c r="F144" s="45">
        <f>Arbejdsark!J160</f>
        <v>0</v>
      </c>
      <c r="G144" s="45" t="e">
        <f>Arbejdsark!#REF!</f>
        <v>#REF!</v>
      </c>
      <c r="H144" s="45" t="e">
        <f>Arbejdsark!#REF!</f>
        <v>#REF!</v>
      </c>
      <c r="I144" s="45" t="str">
        <f>IF('Sortering af spørgsmål'!$C$27=Projektforudsætninger!$C$20,Arbejdsark!$K$477,"")</f>
        <v/>
      </c>
      <c r="J144" s="37" t="s">
        <v>9</v>
      </c>
      <c r="K144" s="41"/>
    </row>
    <row r="145" spans="1:11" ht="113.65" customHeight="1" x14ac:dyDescent="0.45">
      <c r="A145" s="45" t="str">
        <f>Arbejdsark!$A$467</f>
        <v>Integreret designproces</v>
      </c>
      <c r="B145" s="43" t="str">
        <f>Arbejdsark!$B$482</f>
        <v>2.4</v>
      </c>
      <c r="C145" s="45" t="str">
        <f>IF('Sortering af spørgsmål'!$C$27=Projektforudsætninger!$C$20,Arbejdsark!$C$482,"")</f>
        <v/>
      </c>
      <c r="D145" s="46">
        <f>Arbejdsark!D161</f>
        <v>0</v>
      </c>
      <c r="E145" s="45">
        <f>Arbejdsark!I161</f>
        <v>0</v>
      </c>
      <c r="F145" s="45">
        <f>Arbejdsark!J161</f>
        <v>0</v>
      </c>
      <c r="G145" s="45" t="e">
        <f>Arbejdsark!#REF!</f>
        <v>#REF!</v>
      </c>
      <c r="H145" s="45" t="e">
        <f>Arbejdsark!#REF!</f>
        <v>#REF!</v>
      </c>
      <c r="I145" s="45" t="str">
        <f>IF('Sortering af spørgsmål'!$C$27=Projektforudsætninger!$C$20,Arbejdsark!$K$482,"")</f>
        <v/>
      </c>
      <c r="J145" s="37" t="s">
        <v>9</v>
      </c>
      <c r="K145" s="41"/>
    </row>
    <row r="146" spans="1:11" ht="113.65" customHeight="1" x14ac:dyDescent="0.45">
      <c r="A146" s="45" t="str">
        <f>Arbejdsark!$A$467</f>
        <v>Integreret designproces</v>
      </c>
      <c r="B146" s="43" t="str">
        <f>Arbejdsark!$B$487</f>
        <v>2.5</v>
      </c>
      <c r="C146" s="45" t="str">
        <f>IF('Sortering af spørgsmål'!$C$27=Projektforudsætninger!$C$20,Arbejdsark!$C$487,"")</f>
        <v/>
      </c>
      <c r="D146" s="46">
        <f>Arbejdsark!D162</f>
        <v>0</v>
      </c>
      <c r="E146" s="45">
        <f>Arbejdsark!I162</f>
        <v>0</v>
      </c>
      <c r="F146" s="45">
        <f>Arbejdsark!J162</f>
        <v>0</v>
      </c>
      <c r="G146" s="45" t="e">
        <f>Arbejdsark!#REF!</f>
        <v>#REF!</v>
      </c>
      <c r="H146" s="45" t="e">
        <f>Arbejdsark!#REF!</f>
        <v>#REF!</v>
      </c>
      <c r="I146" s="45" t="str">
        <f>IF('Sortering af spørgsmål'!$C$27=Projektforudsætninger!$C$20,Arbejdsark!$K$487,"")</f>
        <v/>
      </c>
      <c r="J146" s="37" t="s">
        <v>9</v>
      </c>
      <c r="K146" s="41"/>
    </row>
    <row r="147" spans="1:11" x14ac:dyDescent="0.45">
      <c r="A147" s="45"/>
      <c r="B147" s="45"/>
      <c r="C147" s="45"/>
      <c r="D147" s="46"/>
      <c r="E147" s="45"/>
      <c r="F147" s="45"/>
      <c r="G147" s="45"/>
      <c r="H147" s="45"/>
      <c r="I147" s="45"/>
      <c r="J147" s="47"/>
      <c r="K147" s="48"/>
    </row>
    <row r="148" spans="1:11" ht="28.5" customHeight="1" x14ac:dyDescent="0.45">
      <c r="A148" s="63" t="str">
        <f>Arbejdsark!$A$492</f>
        <v>Koncepter</v>
      </c>
      <c r="B148" s="63">
        <v>3</v>
      </c>
      <c r="C148" s="63"/>
      <c r="D148" s="63"/>
      <c r="E148" s="63"/>
      <c r="F148" s="63"/>
      <c r="G148" s="63"/>
      <c r="H148" s="63"/>
      <c r="I148" s="63" t="str">
        <f>IF('Sortering af spørgsmål'!$C$28=Projektforudsætninger!$C$20,"Udfyld spørgsmål","Ingen spørgsmål")</f>
        <v>Ingen spørgsmål</v>
      </c>
      <c r="J148" s="64"/>
      <c r="K148" s="65"/>
    </row>
    <row r="149" spans="1:11" ht="170.25" customHeight="1" x14ac:dyDescent="0.45">
      <c r="A149" s="45" t="str">
        <f>Arbejdsark!$A$492</f>
        <v>Koncepter</v>
      </c>
      <c r="B149" s="43" t="str">
        <f>Arbejdsark!$B$492</f>
        <v>3.1</v>
      </c>
      <c r="C149" s="45" t="str">
        <f>IF('Sortering af spørgsmål'!$C$28=Projektforudsætninger!$C$20,Arbejdsark!$C$492,"")</f>
        <v/>
      </c>
      <c r="D149" s="46" t="e">
        <f>Arbejdsark!#REF!</f>
        <v>#REF!</v>
      </c>
      <c r="E149" s="45" t="e">
        <f>Arbejdsark!#REF!</f>
        <v>#REF!</v>
      </c>
      <c r="F149" s="45" t="e">
        <f>Arbejdsark!#REF!</f>
        <v>#REF!</v>
      </c>
      <c r="G149" s="45" t="e">
        <f>Arbejdsark!#REF!</f>
        <v>#REF!</v>
      </c>
      <c r="H149" s="45" t="e">
        <f>Arbejdsark!#REF!</f>
        <v>#REF!</v>
      </c>
      <c r="I149" s="45" t="str">
        <f>IF('Sortering af spørgsmål'!$C$28=Projektforudsætninger!$C$20,Arbejdsark!$K$492,"")</f>
        <v/>
      </c>
      <c r="J149" s="37" t="s">
        <v>9</v>
      </c>
      <c r="K149" s="41"/>
    </row>
    <row r="150" spans="1:11" x14ac:dyDescent="0.45">
      <c r="A150" s="45"/>
      <c r="B150" s="45"/>
      <c r="C150" s="45"/>
      <c r="D150" s="46"/>
      <c r="E150" s="45"/>
      <c r="F150" s="45"/>
      <c r="G150" s="45"/>
      <c r="H150" s="45"/>
      <c r="I150" s="45"/>
      <c r="J150" s="47"/>
      <c r="K150" s="48"/>
    </row>
    <row r="151" spans="1:11" s="278" customFormat="1" ht="28.5" customHeight="1" x14ac:dyDescent="0.45">
      <c r="A151" s="63" t="str">
        <f>Arbejdsark!$A$497</f>
        <v>Entrepriseudbud</v>
      </c>
      <c r="B151" s="63">
        <v>4</v>
      </c>
      <c r="C151" s="63"/>
      <c r="D151" s="63"/>
      <c r="E151" s="63"/>
      <c r="F151" s="63"/>
      <c r="G151" s="63"/>
      <c r="H151" s="63"/>
      <c r="I151" s="63" t="str">
        <f>IF('Sortering af spørgsmål'!$C$29=Projektforudsætninger!$C$20,"Udfyld spørgsmål","Ingen spørgsmål")</f>
        <v>Ingen spørgsmål</v>
      </c>
      <c r="J151" s="64"/>
      <c r="K151" s="65"/>
    </row>
    <row r="152" spans="1:11" ht="113.65" customHeight="1" x14ac:dyDescent="0.45">
      <c r="A152" s="45" t="str">
        <f>Arbejdsark!$A$497</f>
        <v>Entrepriseudbud</v>
      </c>
      <c r="B152" s="43" t="str">
        <f>Arbejdsark!$B$497</f>
        <v>4.1</v>
      </c>
      <c r="C152" s="45" t="str">
        <f>IF('Sortering af spørgsmål'!$C$29=Projektforudsætninger!$C$20,Arbejdsark!$C$497,"")</f>
        <v/>
      </c>
      <c r="D152" s="46" t="e">
        <f>Arbejdsark!#REF!</f>
        <v>#REF!</v>
      </c>
      <c r="E152" s="45" t="e">
        <f>Arbejdsark!#REF!</f>
        <v>#REF!</v>
      </c>
      <c r="F152" s="45" t="e">
        <f>Arbejdsark!#REF!</f>
        <v>#REF!</v>
      </c>
      <c r="G152" s="45" t="e">
        <f>Arbejdsark!#REF!</f>
        <v>#REF!</v>
      </c>
      <c r="H152" s="45" t="e">
        <f>Arbejdsark!#REF!</f>
        <v>#REF!</v>
      </c>
      <c r="I152" s="45" t="str">
        <f>IF('Sortering af spørgsmål'!$C$29=Projektforudsætninger!$C$20,Arbejdsark!$K$497,"")</f>
        <v/>
      </c>
      <c r="J152" s="37" t="s">
        <v>9</v>
      </c>
      <c r="K152" s="41"/>
    </row>
    <row r="153" spans="1:11" x14ac:dyDescent="0.45">
      <c r="A153" s="45"/>
      <c r="B153" s="45"/>
      <c r="C153" s="45"/>
      <c r="D153" s="46"/>
      <c r="E153" s="45"/>
      <c r="F153" s="45"/>
      <c r="G153" s="45"/>
      <c r="H153" s="45"/>
      <c r="I153" s="45"/>
      <c r="J153" s="47"/>
      <c r="K153" s="48"/>
    </row>
    <row r="154" spans="1:11" s="278" customFormat="1" ht="28.5" x14ac:dyDescent="0.45">
      <c r="A154" s="63" t="str">
        <f>Arbejdsark!$A$502</f>
        <v>Kvalitet af aflevering til driftspersonale</v>
      </c>
      <c r="B154" s="63">
        <v>5</v>
      </c>
      <c r="C154" s="63"/>
      <c r="D154" s="63"/>
      <c r="E154" s="63"/>
      <c r="F154" s="63"/>
      <c r="G154" s="63"/>
      <c r="H154" s="63"/>
      <c r="I154" s="63" t="str">
        <f>IF('Sortering af spørgsmål'!$C$30=Projektforudsætninger!$C$20,"Udfyld spørgsmål","Ingen spørgsmål")</f>
        <v>Ingen spørgsmål</v>
      </c>
      <c r="J154" s="64"/>
      <c r="K154" s="65"/>
    </row>
    <row r="155" spans="1:11" ht="113.65" customHeight="1" x14ac:dyDescent="0.45">
      <c r="A155" s="45" t="str">
        <f>Arbejdsark!$A$502</f>
        <v>Kvalitet af aflevering til driftspersonale</v>
      </c>
      <c r="B155" s="43" t="str">
        <f>Arbejdsark!$B$502</f>
        <v>5.1</v>
      </c>
      <c r="C155" s="45" t="str">
        <f>IF('Sortering af spørgsmål'!$C$30=Projektforudsætninger!$C$20,Arbejdsark!$C$502,"")</f>
        <v/>
      </c>
      <c r="D155" s="46" t="e">
        <f>Arbejdsark!#REF!</f>
        <v>#REF!</v>
      </c>
      <c r="E155" s="45" t="e">
        <f>Arbejdsark!#REF!</f>
        <v>#REF!</v>
      </c>
      <c r="F155" s="45" t="e">
        <f>Arbejdsark!#REF!</f>
        <v>#REF!</v>
      </c>
      <c r="G155" s="45" t="e">
        <f>Arbejdsark!#REF!</f>
        <v>#REF!</v>
      </c>
      <c r="H155" s="45" t="e">
        <f>Arbejdsark!#REF!</f>
        <v>#REF!</v>
      </c>
      <c r="I155" s="45" t="str">
        <f>IF('Sortering af spørgsmål'!$C$30=Projektforudsætninger!$C$20,Arbejdsark!$K$502,"")</f>
        <v/>
      </c>
      <c r="J155" s="37" t="s">
        <v>9</v>
      </c>
      <c r="K155" s="41"/>
    </row>
    <row r="156" spans="1:11" ht="113.65" customHeight="1" x14ac:dyDescent="0.45">
      <c r="A156" s="45" t="str">
        <f>Arbejdsark!$A$502</f>
        <v>Kvalitet af aflevering til driftspersonale</v>
      </c>
      <c r="B156" s="43" t="str">
        <f>Arbejdsark!$B$507</f>
        <v>5.2</v>
      </c>
      <c r="C156" s="45" t="str">
        <f>IF('Sortering af spørgsmål'!$C$30=Projektforudsætninger!$C$20,Arbejdsark!$C$507,"")</f>
        <v/>
      </c>
      <c r="D156" s="46" t="e">
        <f>Arbejdsark!#REF!</f>
        <v>#REF!</v>
      </c>
      <c r="E156" s="45" t="e">
        <f>Arbejdsark!#REF!</f>
        <v>#REF!</v>
      </c>
      <c r="F156" s="45" t="e">
        <f>Arbejdsark!#REF!</f>
        <v>#REF!</v>
      </c>
      <c r="G156" s="45" t="e">
        <f>Arbejdsark!#REF!</f>
        <v>#REF!</v>
      </c>
      <c r="H156" s="45" t="e">
        <f>Arbejdsark!#REF!</f>
        <v>#REF!</v>
      </c>
      <c r="I156" s="45" t="str">
        <f>IF('Sortering af spørgsmål'!$C$30=Projektforudsætninger!$C$20,Arbejdsark!$K$507,"")</f>
        <v/>
      </c>
      <c r="J156" s="37" t="s">
        <v>9</v>
      </c>
      <c r="K156" s="41"/>
    </row>
    <row r="157" spans="1:11" ht="113.65" customHeight="1" x14ac:dyDescent="0.45">
      <c r="A157" s="45" t="str">
        <f>Arbejdsark!$A$502</f>
        <v>Kvalitet af aflevering til driftspersonale</v>
      </c>
      <c r="B157" s="43" t="str">
        <f>Arbejdsark!$B$512</f>
        <v>5.3</v>
      </c>
      <c r="C157" s="45" t="str">
        <f>IF('Sortering af spørgsmål'!$C$30=Projektforudsætninger!$C$20,Arbejdsark!$C$512,"")</f>
        <v/>
      </c>
      <c r="D157" s="46" t="e">
        <f>Arbejdsark!#REF!</f>
        <v>#REF!</v>
      </c>
      <c r="E157" s="45" t="e">
        <f>Arbejdsark!#REF!</f>
        <v>#REF!</v>
      </c>
      <c r="F157" s="45" t="e">
        <f>Arbejdsark!#REF!</f>
        <v>#REF!</v>
      </c>
      <c r="G157" s="45" t="e">
        <f>Arbejdsark!#REF!</f>
        <v>#REF!</v>
      </c>
      <c r="H157" s="45" t="e">
        <f>Arbejdsark!#REF!</f>
        <v>#REF!</v>
      </c>
      <c r="I157" s="45" t="str">
        <f>IF('Sortering af spørgsmål'!$C$30=Projektforudsætninger!$C$20,Arbejdsark!$K$512,"")</f>
        <v/>
      </c>
      <c r="J157" s="37" t="s">
        <v>9</v>
      </c>
      <c r="K157" s="41"/>
    </row>
    <row r="158" spans="1:11" x14ac:dyDescent="0.45">
      <c r="A158" s="45"/>
      <c r="B158" s="45"/>
      <c r="C158" s="45"/>
      <c r="D158" s="46"/>
      <c r="E158" s="45"/>
      <c r="F158" s="45"/>
      <c r="G158" s="45"/>
      <c r="H158" s="45"/>
      <c r="I158" s="45"/>
      <c r="J158" s="47"/>
      <c r="K158" s="48"/>
    </row>
    <row r="159" spans="1:11" s="278" customFormat="1" ht="28.5" customHeight="1" x14ac:dyDescent="0.45">
      <c r="A159" s="63" t="str">
        <f>Arbejdsark!$A$517</f>
        <v>Byggeplads</v>
      </c>
      <c r="B159" s="63">
        <v>6</v>
      </c>
      <c r="C159" s="63"/>
      <c r="D159" s="63"/>
      <c r="E159" s="63"/>
      <c r="F159" s="63"/>
      <c r="G159" s="63"/>
      <c r="H159" s="63"/>
      <c r="I159" s="63" t="str">
        <f>IF('Sortering af spørgsmål'!$C$31=Projektforudsætninger!$C$20,"Udfyld spørgsmål","Ingen spørgsmål")</f>
        <v>Ingen spørgsmål</v>
      </c>
      <c r="J159" s="64"/>
      <c r="K159" s="65"/>
    </row>
    <row r="160" spans="1:11" ht="127.5" customHeight="1" x14ac:dyDescent="0.45">
      <c r="A160" s="45" t="str">
        <f>Arbejdsark!$A$517</f>
        <v>Byggeplads</v>
      </c>
      <c r="B160" s="43" t="str">
        <f>Arbejdsark!$B$517</f>
        <v>6.1</v>
      </c>
      <c r="C160" s="45" t="str">
        <f>IF('Sortering af spørgsmål'!$C$31=Projektforudsætninger!$C$20,Arbejdsark!$C$517,"")</f>
        <v/>
      </c>
      <c r="D160" s="46" t="str">
        <f>Arbejdsark!D167</f>
        <v>SOC1.1
Vægtning: SOC1.1 pkt. 1 + 4</v>
      </c>
      <c r="E160" s="45" t="str">
        <f>Arbejdsark!I167</f>
        <v>x</v>
      </c>
      <c r="F160" s="45">
        <f>Arbejdsark!J167</f>
        <v>0</v>
      </c>
      <c r="G160" s="45" t="e">
        <f>Arbejdsark!#REF!</f>
        <v>#REF!</v>
      </c>
      <c r="H160" s="45" t="e">
        <f>Arbejdsark!#REF!</f>
        <v>#REF!</v>
      </c>
      <c r="I160" s="45" t="str">
        <f>IF('Sortering af spørgsmål'!$C$31=Projektforudsætninger!$C$20,Arbejdsark!$K$517,"")</f>
        <v/>
      </c>
      <c r="J160" s="37" t="s">
        <v>9</v>
      </c>
      <c r="K160" s="41"/>
    </row>
    <row r="161" spans="1:11" ht="127.5" customHeight="1" x14ac:dyDescent="0.45">
      <c r="A161" s="45" t="str">
        <f>Arbejdsark!$A$517</f>
        <v>Byggeplads</v>
      </c>
      <c r="B161" s="43" t="str">
        <f>Arbejdsark!$B$522</f>
        <v>6.2</v>
      </c>
      <c r="C161" s="45" t="str">
        <f>IF('Sortering af spørgsmål'!$C$31=Projektforudsætninger!$C$20,Arbejdsark!$C$522,"")</f>
        <v/>
      </c>
      <c r="D161" s="46">
        <f>Arbejdsark!D168</f>
        <v>0</v>
      </c>
      <c r="E161" s="45">
        <f>Arbejdsark!I168</f>
        <v>0</v>
      </c>
      <c r="F161" s="45">
        <f>Arbejdsark!J168</f>
        <v>0</v>
      </c>
      <c r="G161" s="45" t="e">
        <f>Arbejdsark!#REF!</f>
        <v>#REF!</v>
      </c>
      <c r="H161" s="45" t="e">
        <f>Arbejdsark!#REF!</f>
        <v>#REF!</v>
      </c>
      <c r="I161" s="45" t="str">
        <f>IF('Sortering af spørgsmål'!$C$31=Projektforudsætninger!$C$20,Arbejdsark!$K$522,"")</f>
        <v/>
      </c>
      <c r="J161" s="37" t="s">
        <v>9</v>
      </c>
      <c r="K161" s="41"/>
    </row>
    <row r="162" spans="1:11" ht="113.65" customHeight="1" x14ac:dyDescent="0.45">
      <c r="A162" s="45" t="str">
        <f>Arbejdsark!$A$517</f>
        <v>Byggeplads</v>
      </c>
      <c r="B162" s="43" t="str">
        <f>Arbejdsark!$B$527</f>
        <v>6.3</v>
      </c>
      <c r="C162" s="45" t="str">
        <f>IF('Sortering af spørgsmål'!$C$31=Projektforudsætninger!$C$20,Arbejdsark!$C$527,"")</f>
        <v/>
      </c>
      <c r="D162" s="46">
        <f>Arbejdsark!D169</f>
        <v>0</v>
      </c>
      <c r="E162" s="45">
        <f>Arbejdsark!I169</f>
        <v>0</v>
      </c>
      <c r="F162" s="45">
        <f>Arbejdsark!J169</f>
        <v>0</v>
      </c>
      <c r="G162" s="45" t="e">
        <f>Arbejdsark!#REF!</f>
        <v>#REF!</v>
      </c>
      <c r="H162" s="45" t="e">
        <f>Arbejdsark!#REF!</f>
        <v>#REF!</v>
      </c>
      <c r="I162" s="45" t="str">
        <f>IF('Sortering af spørgsmål'!$C$31=Projektforudsætninger!$C$20,Arbejdsark!$K$527,"")</f>
        <v/>
      </c>
      <c r="J162" s="37" t="s">
        <v>9</v>
      </c>
      <c r="K162" s="41"/>
    </row>
    <row r="163" spans="1:11" ht="113.65" customHeight="1" x14ac:dyDescent="0.45">
      <c r="A163" s="45" t="str">
        <f>Arbejdsark!$A$517</f>
        <v>Byggeplads</v>
      </c>
      <c r="B163" s="43" t="str">
        <f>Arbejdsark!$B$532</f>
        <v>6.4</v>
      </c>
      <c r="C163" s="45" t="str">
        <f>IF('Sortering af spørgsmål'!$C$31=Projektforudsætninger!$C$20,Arbejdsark!$C$532,"")</f>
        <v/>
      </c>
      <c r="D163" s="46">
        <f>Arbejdsark!D170</f>
        <v>0</v>
      </c>
      <c r="E163" s="45">
        <f>Arbejdsark!I170</f>
        <v>0</v>
      </c>
      <c r="F163" s="45">
        <f>Arbejdsark!J170</f>
        <v>0</v>
      </c>
      <c r="G163" s="45" t="e">
        <f>Arbejdsark!#REF!</f>
        <v>#REF!</v>
      </c>
      <c r="H163" s="45" t="e">
        <f>Arbejdsark!#REF!</f>
        <v>#REF!</v>
      </c>
      <c r="I163" s="45" t="str">
        <f>IF('Sortering af spørgsmål'!$C$31=Projektforudsætninger!$C$20,Arbejdsark!$K$532,"")</f>
        <v/>
      </c>
      <c r="J163" s="37" t="s">
        <v>9</v>
      </c>
      <c r="K163" s="41"/>
    </row>
    <row r="164" spans="1:11" ht="113.65" customHeight="1" x14ac:dyDescent="0.45">
      <c r="A164" s="45" t="str">
        <f>Arbejdsark!$A$517</f>
        <v>Byggeplads</v>
      </c>
      <c r="B164" s="43" t="str">
        <f>Arbejdsark!$B$537</f>
        <v>6.5</v>
      </c>
      <c r="C164" s="45" t="str">
        <f>IF('Sortering af spørgsmål'!$C$31=Projektforudsætninger!$C$20,Arbejdsark!$C$537,"")</f>
        <v/>
      </c>
      <c r="D164" s="46">
        <f>Arbejdsark!D171</f>
        <v>0</v>
      </c>
      <c r="E164" s="45">
        <f>Arbejdsark!I171</f>
        <v>0</v>
      </c>
      <c r="F164" s="45">
        <f>Arbejdsark!J171</f>
        <v>0</v>
      </c>
      <c r="G164" s="45" t="e">
        <f>Arbejdsark!#REF!</f>
        <v>#REF!</v>
      </c>
      <c r="H164" s="45" t="e">
        <f>Arbejdsark!#REF!</f>
        <v>#REF!</v>
      </c>
      <c r="I164" s="45" t="str">
        <f>IF('Sortering af spørgsmål'!$C$31=Projektforudsætninger!$C$20,Arbejdsark!$K$537,"")</f>
        <v/>
      </c>
      <c r="J164" s="37" t="s">
        <v>9</v>
      </c>
      <c r="K164" s="41"/>
    </row>
    <row r="165" spans="1:11" ht="113.65" customHeight="1" x14ac:dyDescent="0.45">
      <c r="A165" s="45" t="str">
        <f>Arbejdsark!$A$517</f>
        <v>Byggeplads</v>
      </c>
      <c r="B165" s="43" t="str">
        <f>Arbejdsark!$B$542</f>
        <v>6.6</v>
      </c>
      <c r="C165" s="45" t="str">
        <f>IF('Sortering af spørgsmål'!$C$31=Projektforudsætninger!$C$20,Arbejdsark!$C$542,"")</f>
        <v/>
      </c>
      <c r="D165" s="46" t="str">
        <f>Arbejdsark!D172</f>
        <v>SOC1.1
Vægtning: SOC1.1 pkt. 2 + 5</v>
      </c>
      <c r="E165" s="45" t="str">
        <f>Arbejdsark!I172</f>
        <v>x</v>
      </c>
      <c r="F165" s="45">
        <f>Arbejdsark!J172</f>
        <v>0</v>
      </c>
      <c r="G165" s="45" t="e">
        <f>Arbejdsark!#REF!</f>
        <v>#REF!</v>
      </c>
      <c r="H165" s="45" t="e">
        <f>Arbejdsark!#REF!</f>
        <v>#REF!</v>
      </c>
      <c r="I165" s="45" t="str">
        <f>IF('Sortering af spørgsmål'!$C$31=Projektforudsætninger!$C$20,Arbejdsark!$K$542,"")</f>
        <v/>
      </c>
      <c r="J165" s="37" t="s">
        <v>9</v>
      </c>
      <c r="K165" s="41"/>
    </row>
    <row r="166" spans="1:11" x14ac:dyDescent="0.45">
      <c r="A166" s="45"/>
      <c r="B166" s="45"/>
      <c r="C166" s="45"/>
      <c r="D166" s="46"/>
      <c r="E166" s="45"/>
      <c r="F166" s="45"/>
      <c r="G166" s="45"/>
      <c r="H166" s="45"/>
      <c r="I166" s="45"/>
      <c r="J166" s="47"/>
      <c r="K166" s="48"/>
    </row>
    <row r="167" spans="1:11" s="278" customFormat="1" ht="56.85" customHeight="1" x14ac:dyDescent="0.45">
      <c r="A167" s="63" t="str">
        <f>Arbejdsark!$A$548</f>
        <v>Eftervisende dokumentation</v>
      </c>
      <c r="B167" s="63">
        <v>7</v>
      </c>
      <c r="C167" s="63"/>
      <c r="D167" s="63"/>
      <c r="E167" s="63"/>
      <c r="F167" s="63"/>
      <c r="G167" s="63"/>
      <c r="H167" s="63"/>
      <c r="I167" s="63" t="str">
        <f>IF('Sortering af spørgsmål'!$C$32=Projektforudsætninger!$C$20,"Udfyld spørgsmål","Ingen spørgsmål")</f>
        <v>Ingen spørgsmål</v>
      </c>
      <c r="J167" s="64"/>
      <c r="K167" s="65"/>
    </row>
    <row r="168" spans="1:11" ht="113.65" customHeight="1" x14ac:dyDescent="0.45">
      <c r="A168" s="45" t="str">
        <f>Arbejdsark!$A$548</f>
        <v>Eftervisende dokumentation</v>
      </c>
      <c r="B168" s="43" t="str">
        <f>Arbejdsark!$B$548</f>
        <v>7.1</v>
      </c>
      <c r="C168" s="45" t="str">
        <f>IF('Sortering af spørgsmål'!$C$32=Projektforudsætninger!$C$20,Arbejdsark!$C$548,"")</f>
        <v/>
      </c>
      <c r="D168" s="46">
        <f>Arbejdsark!D174</f>
        <v>0</v>
      </c>
      <c r="E168" s="45">
        <f>Arbejdsark!I174</f>
        <v>0</v>
      </c>
      <c r="F168" s="45">
        <f>Arbejdsark!J174</f>
        <v>0</v>
      </c>
      <c r="G168" s="45" t="e">
        <f>Arbejdsark!#REF!</f>
        <v>#REF!</v>
      </c>
      <c r="H168" s="45" t="e">
        <f>Arbejdsark!#REF!</f>
        <v>#REF!</v>
      </c>
      <c r="I168" s="45" t="str">
        <f>IF('Sortering af spørgsmål'!$C$32=Projektforudsætninger!$C$20,Arbejdsark!$K$548,"")</f>
        <v/>
      </c>
      <c r="J168" s="37" t="s">
        <v>9</v>
      </c>
      <c r="K168" s="41"/>
    </row>
    <row r="169" spans="1:11" ht="113.65" customHeight="1" x14ac:dyDescent="0.45">
      <c r="A169" s="45" t="str">
        <f>Arbejdsark!$A$548</f>
        <v>Eftervisende dokumentation</v>
      </c>
      <c r="B169" s="43" t="str">
        <f>Arbejdsark!$B$553</f>
        <v>7.2</v>
      </c>
      <c r="C169" s="45" t="str">
        <f>IF('Sortering af spørgsmål'!$C$32=Projektforudsætninger!$C$20,Arbejdsark!$C$553,"")</f>
        <v/>
      </c>
      <c r="D169" s="46">
        <f>Arbejdsark!D175</f>
        <v>0</v>
      </c>
      <c r="E169" s="45">
        <f>Arbejdsark!I175</f>
        <v>0</v>
      </c>
      <c r="F169" s="45">
        <f>Arbejdsark!J175</f>
        <v>0</v>
      </c>
      <c r="G169" s="45" t="e">
        <f>Arbejdsark!#REF!</f>
        <v>#REF!</v>
      </c>
      <c r="H169" s="45" t="e">
        <f>Arbejdsark!#REF!</f>
        <v>#REF!</v>
      </c>
      <c r="I169" s="45" t="str">
        <f>IF('Sortering af spørgsmål'!$C$32=Projektforudsætninger!$C$20,Arbejdsark!$K$553,"")</f>
        <v/>
      </c>
      <c r="J169" s="37" t="s">
        <v>9</v>
      </c>
      <c r="K169" s="41"/>
    </row>
    <row r="170" spans="1:11" ht="113.65" customHeight="1" x14ac:dyDescent="0.45">
      <c r="A170" s="45" t="str">
        <f>Arbejdsark!$A$548</f>
        <v>Eftervisende dokumentation</v>
      </c>
      <c r="B170" s="43" t="str">
        <f>Arbejdsark!$B$558</f>
        <v>7.3</v>
      </c>
      <c r="C170" s="45" t="str">
        <f>IF('Sortering af spørgsmål'!$C$32=Projektforudsætninger!$C$20,Arbejdsark!$C$558,"")</f>
        <v/>
      </c>
      <c r="D170" s="46">
        <f>Arbejdsark!D176</f>
        <v>0</v>
      </c>
      <c r="E170" s="45">
        <f>Arbejdsark!I176</f>
        <v>0</v>
      </c>
      <c r="F170" s="45">
        <f>Arbejdsark!J176</f>
        <v>0</v>
      </c>
      <c r="G170" s="45" t="e">
        <f>Arbejdsark!#REF!</f>
        <v>#REF!</v>
      </c>
      <c r="H170" s="45" t="e">
        <f>Arbejdsark!#REF!</f>
        <v>#REF!</v>
      </c>
      <c r="I170" s="45" t="str">
        <f>IF('Sortering af spørgsmål'!$C$32=Projektforudsætninger!$C$20,Arbejdsark!$K$558,"")</f>
        <v/>
      </c>
      <c r="J170" s="37" t="s">
        <v>9</v>
      </c>
      <c r="K170" s="41"/>
    </row>
    <row r="171" spans="1:11" ht="186" customHeight="1" x14ac:dyDescent="0.45">
      <c r="A171" s="45" t="str">
        <f>Arbejdsark!$A$548</f>
        <v>Eftervisende dokumentation</v>
      </c>
      <c r="B171" s="43" t="str">
        <f>Arbejdsark!$B$563</f>
        <v>7.4</v>
      </c>
      <c r="C171" s="45" t="str">
        <f>IF('Sortering af spørgsmål'!$C$32=Projektforudsætninger!$C$20,Arbejdsark!$C$563,"")</f>
        <v/>
      </c>
      <c r="D171" s="46" t="str">
        <f>Arbejdsark!D177</f>
        <v>SOC1.1
Vægtning: SOC1.1 pkt. 3 + 6</v>
      </c>
      <c r="E171" s="45" t="str">
        <f>Arbejdsark!I177</f>
        <v>x</v>
      </c>
      <c r="F171" s="45">
        <f>Arbejdsark!J177</f>
        <v>0</v>
      </c>
      <c r="G171" s="45" t="e">
        <f>Arbejdsark!#REF!</f>
        <v>#REF!</v>
      </c>
      <c r="H171" s="45" t="e">
        <f>Arbejdsark!#REF!</f>
        <v>#REF!</v>
      </c>
      <c r="I171" s="45" t="str">
        <f>IF('Sortering af spørgsmål'!$C$32=Projektforudsætninger!$C$20,Arbejdsark!$K$563,"")</f>
        <v/>
      </c>
      <c r="J171" s="37" t="s">
        <v>9</v>
      </c>
      <c r="K171" s="41"/>
    </row>
    <row r="172" spans="1:11" x14ac:dyDescent="0.45">
      <c r="A172" s="45" t="str">
        <f>Arbejdsark!$A$548</f>
        <v>Eftervisende dokumentation</v>
      </c>
      <c r="B172" s="43" t="str">
        <f>Arbejdsark!$B$572</f>
        <v>7.5</v>
      </c>
      <c r="C172" s="45" t="str">
        <f>IF('Sortering af spørgsmål'!$C$32=Projektforudsætninger!$C$20,Arbejdsark!$C$572,"")</f>
        <v/>
      </c>
      <c r="D172" s="46"/>
      <c r="E172" s="45"/>
      <c r="F172" s="45"/>
      <c r="G172" s="45"/>
      <c r="H172" s="45"/>
      <c r="I172" s="45" t="str">
        <f>IF('Sortering af spørgsmål'!$C$32=Projektforudsætninger!$C$20,Arbejdsark!$K$572,"")</f>
        <v/>
      </c>
      <c r="J172" s="37" t="s">
        <v>9</v>
      </c>
      <c r="K172" s="41"/>
    </row>
    <row r="173" spans="1:11" s="278" customFormat="1" ht="28.5" customHeight="1" x14ac:dyDescent="0.45">
      <c r="A173" s="31"/>
      <c r="B173" s="307"/>
      <c r="C173" s="31"/>
      <c r="D173" s="309"/>
      <c r="E173" s="31"/>
      <c r="F173" s="31"/>
      <c r="G173" s="31"/>
      <c r="H173" s="31"/>
      <c r="I173" s="31"/>
      <c r="J173" s="31"/>
      <c r="K173" s="311"/>
    </row>
    <row r="174" spans="1:11" x14ac:dyDescent="0.45">
      <c r="A174" s="220"/>
      <c r="B174" s="308"/>
      <c r="C174" s="220"/>
      <c r="D174" s="310"/>
      <c r="E174" s="220"/>
      <c r="F174" s="220"/>
      <c r="G174" s="220"/>
      <c r="H174" s="220"/>
      <c r="I174" s="220"/>
      <c r="J174" s="220"/>
      <c r="K174" s="312"/>
    </row>
    <row r="175" spans="1:11" ht="283.5" customHeight="1" x14ac:dyDescent="0.45"/>
    <row r="176" spans="1:11" ht="283.5" customHeight="1" x14ac:dyDescent="0.45"/>
    <row r="177" ht="283.5" customHeight="1" x14ac:dyDescent="0.45"/>
    <row r="178" ht="283.5" customHeight="1" x14ac:dyDescent="0.45"/>
    <row r="179" ht="283.5" customHeight="1" x14ac:dyDescent="0.45"/>
    <row r="180" ht="283.5" customHeight="1" x14ac:dyDescent="0.45"/>
    <row r="181" ht="283.5" customHeight="1" x14ac:dyDescent="0.45"/>
    <row r="182" ht="283.5" customHeight="1" x14ac:dyDescent="0.45"/>
    <row r="183" ht="283.5" customHeight="1" x14ac:dyDescent="0.45"/>
    <row r="184" ht="283.5" customHeight="1" x14ac:dyDescent="0.45"/>
    <row r="185" ht="283.5" customHeight="1" x14ac:dyDescent="0.45"/>
    <row r="186" ht="283.5" customHeight="1" x14ac:dyDescent="0.45"/>
    <row r="187" ht="283.5" customHeight="1" x14ac:dyDescent="0.45"/>
    <row r="188" ht="283.5" customHeight="1" x14ac:dyDescent="0.45"/>
    <row r="189" ht="283.5" customHeight="1" x14ac:dyDescent="0.45"/>
    <row r="190" ht="283.5" customHeight="1" x14ac:dyDescent="0.45"/>
    <row r="191" ht="283.5" customHeight="1" x14ac:dyDescent="0.45"/>
    <row r="192" ht="283.5" customHeight="1" x14ac:dyDescent="0.45"/>
    <row r="193" ht="283.5" customHeight="1" x14ac:dyDescent="0.45"/>
    <row r="194" ht="283.5" customHeight="1" x14ac:dyDescent="0.45"/>
    <row r="195" ht="283.5" customHeight="1" x14ac:dyDescent="0.45"/>
    <row r="196" ht="283.5" customHeight="1" x14ac:dyDescent="0.45"/>
    <row r="197" ht="283.5" customHeight="1" x14ac:dyDescent="0.45"/>
    <row r="198" ht="283.5" customHeight="1" x14ac:dyDescent="0.45"/>
    <row r="199" ht="283.5" customHeight="1" x14ac:dyDescent="0.45"/>
    <row r="200" ht="283.5" customHeight="1" x14ac:dyDescent="0.45"/>
    <row r="201" ht="283.5" customHeight="1" x14ac:dyDescent="0.45"/>
    <row r="202" ht="283.5" customHeight="1" x14ac:dyDescent="0.45"/>
    <row r="203" ht="283.5" customHeight="1" x14ac:dyDescent="0.45"/>
    <row r="204" ht="283.5" customHeight="1" x14ac:dyDescent="0.45"/>
    <row r="205" ht="283.5" customHeight="1" x14ac:dyDescent="0.45"/>
    <row r="206" ht="283.5" customHeight="1" x14ac:dyDescent="0.45"/>
    <row r="207" ht="283.5" customHeight="1" x14ac:dyDescent="0.45"/>
    <row r="208" ht="283.5" customHeight="1" x14ac:dyDescent="0.45"/>
    <row r="209" ht="283.5" customHeight="1" x14ac:dyDescent="0.45"/>
    <row r="210" ht="283.5" customHeight="1" x14ac:dyDescent="0.45"/>
    <row r="211" ht="283.5" customHeight="1" x14ac:dyDescent="0.45"/>
    <row r="212" ht="283.5" customHeight="1" x14ac:dyDescent="0.45"/>
    <row r="213" ht="283.5" customHeight="1" x14ac:dyDescent="0.45"/>
    <row r="214" ht="283.5" customHeight="1" x14ac:dyDescent="0.45"/>
    <row r="215" ht="283.5" customHeight="1" x14ac:dyDescent="0.45"/>
    <row r="216" ht="283.5" customHeight="1" x14ac:dyDescent="0.45"/>
    <row r="217" ht="283.5" customHeight="1" x14ac:dyDescent="0.45"/>
    <row r="218" ht="283.5" customHeight="1" x14ac:dyDescent="0.45"/>
    <row r="219" ht="283.5" customHeight="1" x14ac:dyDescent="0.45"/>
    <row r="220" ht="283.5" customHeight="1" x14ac:dyDescent="0.45"/>
    <row r="221" ht="283.5" customHeight="1" x14ac:dyDescent="0.45"/>
    <row r="222" ht="283.5" customHeight="1" x14ac:dyDescent="0.45"/>
    <row r="223" ht="283.5" customHeight="1" x14ac:dyDescent="0.45"/>
    <row r="224" ht="283.5" customHeight="1" x14ac:dyDescent="0.45"/>
    <row r="225" ht="283.5" customHeight="1" x14ac:dyDescent="0.45"/>
    <row r="226" ht="283.5" customHeight="1" x14ac:dyDescent="0.45"/>
    <row r="227" ht="283.5" customHeight="1" x14ac:dyDescent="0.45"/>
    <row r="228" ht="283.5" customHeight="1" x14ac:dyDescent="0.45"/>
    <row r="229" ht="283.5" customHeight="1" x14ac:dyDescent="0.45"/>
    <row r="230" ht="283.5" customHeight="1" x14ac:dyDescent="0.45"/>
    <row r="231" ht="283.5" customHeight="1" x14ac:dyDescent="0.45"/>
    <row r="232" ht="283.5" customHeight="1" x14ac:dyDescent="0.45"/>
    <row r="233" ht="283.5" customHeight="1" x14ac:dyDescent="0.45"/>
    <row r="234" ht="283.5" customHeight="1" x14ac:dyDescent="0.45"/>
    <row r="235" ht="283.5" customHeight="1" x14ac:dyDescent="0.45"/>
    <row r="236" ht="283.5" customHeight="1" x14ac:dyDescent="0.45"/>
    <row r="237" ht="283.5" customHeight="1" x14ac:dyDescent="0.45"/>
    <row r="238" ht="283.5" customHeight="1" x14ac:dyDescent="0.45"/>
    <row r="239" ht="283.5" customHeight="1" x14ac:dyDescent="0.45"/>
    <row r="240" ht="283.5" customHeight="1" x14ac:dyDescent="0.45"/>
    <row r="241" ht="283.5" customHeight="1" x14ac:dyDescent="0.45"/>
    <row r="242" ht="283.5" customHeight="1" x14ac:dyDescent="0.45"/>
    <row r="243" ht="283.5" customHeight="1" x14ac:dyDescent="0.45"/>
    <row r="244" ht="283.5" customHeight="1" x14ac:dyDescent="0.45"/>
    <row r="245" ht="283.5" customHeight="1" x14ac:dyDescent="0.45"/>
    <row r="246" ht="283.5" customHeight="1" x14ac:dyDescent="0.45"/>
    <row r="247" ht="283.5" customHeight="1" x14ac:dyDescent="0.45"/>
    <row r="248" ht="283.5" customHeight="1" x14ac:dyDescent="0.45"/>
    <row r="249" ht="283.5" customHeight="1" x14ac:dyDescent="0.45"/>
    <row r="250" ht="283.5" customHeight="1" x14ac:dyDescent="0.45"/>
    <row r="251" ht="283.5" customHeight="1" x14ac:dyDescent="0.45"/>
    <row r="252" ht="283.5" customHeight="1" x14ac:dyDescent="0.45"/>
    <row r="253" ht="283.5" customHeight="1" x14ac:dyDescent="0.45"/>
    <row r="254" ht="283.5" customHeight="1" x14ac:dyDescent="0.45"/>
    <row r="255" ht="283.5" customHeight="1" x14ac:dyDescent="0.45"/>
    <row r="256" ht="283.5" customHeight="1" x14ac:dyDescent="0.45"/>
    <row r="257" ht="283.5" customHeight="1" x14ac:dyDescent="0.45"/>
    <row r="258" ht="283.5" customHeight="1" x14ac:dyDescent="0.45"/>
    <row r="259" ht="283.5" customHeight="1" x14ac:dyDescent="0.45"/>
    <row r="260" ht="283.5" customHeight="1" x14ac:dyDescent="0.45"/>
    <row r="261" ht="283.5" customHeight="1" x14ac:dyDescent="0.45"/>
    <row r="262" ht="283.5" customHeight="1" x14ac:dyDescent="0.45"/>
    <row r="263" ht="283.5" customHeight="1" x14ac:dyDescent="0.45"/>
    <row r="264" ht="283.5" customHeight="1" x14ac:dyDescent="0.45"/>
  </sheetData>
  <sheetProtection sheet="1" selectLockedCells="1"/>
  <protectedRanges>
    <protectedRange sqref="K64:Y68" name="Område1"/>
  </protectedRanges>
  <mergeCells count="2">
    <mergeCell ref="B1:H1"/>
    <mergeCell ref="A2:K2"/>
  </mergeCells>
  <dataValidations count="2">
    <dataValidation type="list" allowBlank="1" showInputMessage="1" showErrorMessage="1" sqref="J65 J70" xr:uid="{00000000-0002-0000-0500-000000000000}">
      <formula1>$AD$2:$AD$6</formula1>
    </dataValidation>
    <dataValidation type="list" allowBlank="1" showInputMessage="1" showErrorMessage="1" sqref="J168:J172 J134 J94:J108 J50:J51 J56:J64 J30:J31 J21:J24 J126:J131 J142:J146 J160:J165 J155:J157 J152 J149 J139 J86:J87 J117:J123 J90:J91 J77:J78 J68:J69 J40:J47 J36:J37 J27 J16:J18 J12:J13 J6:J9 J73:J74 J81:J83 J113:J114" xr:uid="{00000000-0002-0000-0500-000001000000}">
      <formula1>$AH$3:$AH$6</formula1>
    </dataValidation>
  </dataValidations>
  <pageMargins left="0.23622047244094491" right="0.23622047244094491" top="0.74803149606299213" bottom="0.74803149606299213" header="0.31496062992125984" footer="0.31496062992125984"/>
  <pageSetup paperSize="8" scale="86" fitToHeight="0" orientation="portrait" r:id="rId1"/>
  <headerFooter>
    <oddHeader xml:space="preserve">&amp;C&amp;10
</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Arbejdsark!$L$5:$L$7</xm:f>
          </x14:formula1>
          <xm:sqref>J5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tabColor rgb="FF00B0F0"/>
    <pageSetUpPr fitToPage="1"/>
  </sheetPr>
  <dimension ref="A1:AI252"/>
  <sheetViews>
    <sheetView view="pageLayout" zoomScale="90" zoomScaleNormal="87" zoomScalePageLayoutView="90" workbookViewId="0">
      <selection activeCell="J6" sqref="J6"/>
    </sheetView>
  </sheetViews>
  <sheetFormatPr defaultColWidth="8.73046875" defaultRowHeight="14.25" x14ac:dyDescent="0.45"/>
  <cols>
    <col min="1" max="1" width="25.265625" style="30" customWidth="1"/>
    <col min="2" max="2" width="4.265625" style="30" customWidth="1"/>
    <col min="3" max="3" width="12.73046875" style="30" customWidth="1"/>
    <col min="4" max="4" width="37.265625" style="30" hidden="1" customWidth="1"/>
    <col min="5" max="8" width="8.73046875" style="30" hidden="1" customWidth="1"/>
    <col min="9" max="9" width="30" style="30" customWidth="1"/>
    <col min="10" max="10" width="32.73046875" style="30" customWidth="1"/>
    <col min="11" max="11" width="19.265625" style="30" customWidth="1"/>
    <col min="12" max="12" width="27" style="30" customWidth="1"/>
    <col min="13" max="21" width="8.73046875" style="30" hidden="1" customWidth="1"/>
    <col min="22" max="22" width="7.3984375" style="30" hidden="1" customWidth="1"/>
    <col min="23" max="23" width="8.73046875" style="30" hidden="1" customWidth="1"/>
    <col min="24" max="27" width="0" style="30" hidden="1" customWidth="1"/>
    <col min="28" max="29" width="8.73046875" style="30"/>
    <col min="30" max="30" width="8.73046875" style="30" customWidth="1"/>
    <col min="31" max="35" width="8.73046875" style="30" hidden="1" customWidth="1"/>
    <col min="36" max="16384" width="8.73046875" style="30"/>
  </cols>
  <sheetData>
    <row r="1" spans="1:35" ht="28.5" x14ac:dyDescent="0.45">
      <c r="A1" s="296" t="s">
        <v>188</v>
      </c>
      <c r="B1" s="796" t="str">
        <f>Projektforudsætninger!C21</f>
        <v>-2-</v>
      </c>
      <c r="C1" s="796"/>
      <c r="D1" s="796"/>
      <c r="E1" s="796"/>
      <c r="F1" s="796"/>
      <c r="G1" s="796"/>
      <c r="H1" s="796"/>
      <c r="I1" s="796"/>
      <c r="J1" s="19"/>
      <c r="K1" s="19"/>
      <c r="L1" s="19"/>
      <c r="M1" s="19"/>
      <c r="N1" s="19"/>
      <c r="O1" s="19"/>
      <c r="P1" s="19"/>
      <c r="Q1" s="19"/>
      <c r="R1" s="19"/>
      <c r="S1" s="19"/>
      <c r="T1" s="19"/>
      <c r="U1" s="19"/>
      <c r="V1" s="19"/>
      <c r="AE1" s="30" t="s">
        <v>9</v>
      </c>
    </row>
    <row r="2" spans="1:35" ht="50.25" customHeight="1" x14ac:dyDescent="0.45">
      <c r="A2" s="777" t="s">
        <v>189</v>
      </c>
      <c r="B2" s="777"/>
      <c r="C2" s="777"/>
      <c r="D2" s="777"/>
      <c r="E2" s="777"/>
      <c r="F2" s="777"/>
      <c r="G2" s="777"/>
      <c r="H2" s="777"/>
      <c r="I2" s="777"/>
      <c r="J2" s="777"/>
      <c r="K2" s="777"/>
      <c r="L2" s="777"/>
      <c r="M2" s="19"/>
      <c r="N2" s="19"/>
      <c r="O2" s="19"/>
      <c r="P2" s="19"/>
      <c r="Q2" s="19"/>
      <c r="R2" s="19"/>
      <c r="S2" s="19"/>
      <c r="T2" s="19"/>
      <c r="U2" s="19"/>
      <c r="V2" s="19"/>
      <c r="AE2" s="294" t="s">
        <v>170</v>
      </c>
      <c r="AG2" s="31" t="s">
        <v>171</v>
      </c>
      <c r="AI2" s="30" t="s">
        <v>9</v>
      </c>
    </row>
    <row r="3" spans="1:35" ht="23.25" x14ac:dyDescent="0.45">
      <c r="A3" s="49" t="str">
        <f>Arbejdsark!$A$2</f>
        <v>MILJØ KVALITET</v>
      </c>
      <c r="B3" s="49"/>
      <c r="C3" s="261"/>
      <c r="D3" s="261"/>
      <c r="E3" s="262"/>
      <c r="F3" s="262"/>
      <c r="G3" s="262"/>
      <c r="H3" s="262"/>
      <c r="I3" s="262"/>
      <c r="J3" s="262"/>
      <c r="K3" s="262"/>
      <c r="L3" s="299"/>
      <c r="M3" s="19"/>
      <c r="N3" s="19"/>
      <c r="O3" s="19"/>
      <c r="P3" s="19"/>
      <c r="Q3" s="19"/>
      <c r="R3" s="19"/>
      <c r="S3" s="19"/>
      <c r="T3" s="19"/>
      <c r="U3" s="19"/>
      <c r="V3" s="19"/>
      <c r="AE3" s="294" t="s">
        <v>498</v>
      </c>
      <c r="AG3" s="31" t="s">
        <v>173</v>
      </c>
      <c r="AI3" s="294" t="s">
        <v>498</v>
      </c>
    </row>
    <row r="4" spans="1:35" s="33" customFormat="1" ht="20.25" customHeight="1" x14ac:dyDescent="0.45">
      <c r="A4" s="67" t="s">
        <v>118</v>
      </c>
      <c r="B4" s="67" t="s">
        <v>179</v>
      </c>
      <c r="C4" s="67" t="s">
        <v>167</v>
      </c>
      <c r="D4" s="68" t="s">
        <v>63</v>
      </c>
      <c r="E4" s="67" t="s">
        <v>190</v>
      </c>
      <c r="F4" s="67" t="s">
        <v>19</v>
      </c>
      <c r="G4" s="67" t="s">
        <v>183</v>
      </c>
      <c r="H4" s="67" t="s">
        <v>191</v>
      </c>
      <c r="I4" s="137" t="s">
        <v>61</v>
      </c>
      <c r="J4" s="67" t="s">
        <v>62</v>
      </c>
      <c r="K4" s="67" t="s">
        <v>185</v>
      </c>
      <c r="L4" s="300"/>
      <c r="M4" s="32"/>
      <c r="N4" s="32"/>
      <c r="O4" s="32"/>
      <c r="P4" s="32"/>
      <c r="Q4" s="32"/>
      <c r="R4" s="32"/>
      <c r="S4" s="32"/>
      <c r="T4" s="32"/>
      <c r="U4" s="32"/>
      <c r="AE4" s="294" t="s">
        <v>499</v>
      </c>
      <c r="AG4" s="31" t="s">
        <v>12</v>
      </c>
      <c r="AI4" s="294" t="s">
        <v>499</v>
      </c>
    </row>
    <row r="5" spans="1:35" ht="28.5" customHeight="1" x14ac:dyDescent="0.45">
      <c r="A5" s="50" t="str">
        <f>Arbejdsark!$A$4</f>
        <v>Materialer</v>
      </c>
      <c r="B5" s="50">
        <v>1</v>
      </c>
      <c r="C5" s="50"/>
      <c r="D5" s="50"/>
      <c r="E5" s="50"/>
      <c r="F5" s="50"/>
      <c r="G5" s="50"/>
      <c r="H5" s="50"/>
      <c r="I5" s="50" t="str">
        <f>IF('Sortering af spørgsmål'!$C$6=Projektforudsætninger!$C$21,"Udfyld spørgsmål","Ingen spørgsmål")</f>
        <v>Ingen spørgsmål</v>
      </c>
      <c r="J5" s="50"/>
      <c r="K5" s="53"/>
      <c r="L5" s="301"/>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E5" s="294" t="s">
        <v>495</v>
      </c>
      <c r="AI5" s="294" t="s">
        <v>495</v>
      </c>
    </row>
    <row r="6" spans="1:35" ht="141.75" customHeight="1" x14ac:dyDescent="0.45">
      <c r="A6" s="138" t="str">
        <f>Arbejdsark!$A$4</f>
        <v>Materialer</v>
      </c>
      <c r="B6" s="43" t="str">
        <f>Arbejdsark!$B$4</f>
        <v>1.1</v>
      </c>
      <c r="C6" s="45" t="str">
        <f>IF('Sortering af spørgsmål'!$C$6=Projektforudsætninger!$C$21,Arbejdsark!$C$4,"")</f>
        <v/>
      </c>
      <c r="D6" s="46"/>
      <c r="E6" s="45"/>
      <c r="F6" s="45"/>
      <c r="G6" s="45"/>
      <c r="H6" s="45"/>
      <c r="I6" s="45" t="str">
        <f>IF('Sortering af spørgsmål'!$C$6=Projektforudsætninger!$C$21,Arbejdsark!$K$4,"")</f>
        <v/>
      </c>
      <c r="J6" s="37" t="s">
        <v>9</v>
      </c>
      <c r="K6" s="37"/>
      <c r="L6" s="301"/>
      <c r="M6" s="26"/>
      <c r="N6" s="26"/>
      <c r="O6" s="26"/>
      <c r="P6" s="26"/>
      <c r="Q6" s="26"/>
      <c r="R6" s="26"/>
      <c r="S6" s="26"/>
      <c r="T6" s="26"/>
      <c r="U6" s="26"/>
      <c r="AE6" s="294" t="s">
        <v>186</v>
      </c>
    </row>
    <row r="7" spans="1:35" ht="141.75" customHeight="1" x14ac:dyDescent="0.45">
      <c r="A7" s="139" t="str">
        <f>Arbejdsark!$A$4</f>
        <v>Materialer</v>
      </c>
      <c r="B7" s="43" t="str">
        <f>Arbejdsark!$B$10</f>
        <v>1.2</v>
      </c>
      <c r="C7" s="45" t="str">
        <f>IF('Sortering af spørgsmål'!$C$6=Projektforudsætninger!$C$21,Arbejdsark!$C$10,"")</f>
        <v/>
      </c>
      <c r="D7" s="46" t="str">
        <f>Arbejdsark!D10</f>
        <v>ENV1.2</v>
      </c>
      <c r="E7" s="45" t="str">
        <f>Arbejdsark!I10</f>
        <v>x</v>
      </c>
      <c r="F7" s="45">
        <f>Arbejdsark!J10</f>
        <v>0</v>
      </c>
      <c r="G7" s="45" t="e">
        <f>Arbejdsark!#REF!</f>
        <v>#REF!</v>
      </c>
      <c r="H7" s="45" t="e">
        <f>Arbejdsark!#REF!</f>
        <v>#REF!</v>
      </c>
      <c r="I7" s="45" t="str">
        <f>IF('Sortering af spørgsmål'!$C$6=Projektforudsætninger!$C$21,Arbejdsark!$K$10,"")</f>
        <v/>
      </c>
      <c r="J7" s="37" t="s">
        <v>9</v>
      </c>
      <c r="K7" s="37"/>
      <c r="L7" s="19"/>
      <c r="M7" s="19"/>
      <c r="N7" s="19"/>
      <c r="O7" s="19"/>
      <c r="P7" s="19"/>
      <c r="Q7" s="19"/>
      <c r="R7" s="19"/>
      <c r="S7" s="19"/>
      <c r="T7" s="19"/>
      <c r="U7" s="19"/>
    </row>
    <row r="8" spans="1:35" ht="184.5" customHeight="1" x14ac:dyDescent="0.45">
      <c r="A8" s="138" t="str">
        <f>Arbejdsark!$A$4</f>
        <v>Materialer</v>
      </c>
      <c r="B8" s="43" t="str">
        <f>Arbejdsark!$B$15</f>
        <v>1.3</v>
      </c>
      <c r="C8" s="45" t="str">
        <f>IF('Sortering af spørgsmål'!$C$6=Projektforudsætninger!$C$21,Arbejdsark!$C$15,"")</f>
        <v/>
      </c>
      <c r="D8" s="46">
        <f>Arbejdsark!D11</f>
        <v>0</v>
      </c>
      <c r="E8" s="45">
        <f>Arbejdsark!I11</f>
        <v>0</v>
      </c>
      <c r="F8" s="45">
        <f>Arbejdsark!J11</f>
        <v>0</v>
      </c>
      <c r="G8" s="45" t="e">
        <f>Arbejdsark!#REF!</f>
        <v>#REF!</v>
      </c>
      <c r="H8" s="45" t="e">
        <f>Arbejdsark!#REF!</f>
        <v>#REF!</v>
      </c>
      <c r="I8" s="45" t="str">
        <f>IF('Sortering af spørgsmål'!$C$6=Projektforudsætninger!$C$21,Arbejdsark!$K$15,"")</f>
        <v/>
      </c>
      <c r="J8" s="37" t="s">
        <v>9</v>
      </c>
      <c r="K8" s="37"/>
      <c r="L8" s="19"/>
      <c r="M8" s="19"/>
      <c r="N8" s="19"/>
      <c r="O8" s="19"/>
      <c r="P8" s="19"/>
      <c r="Q8" s="19"/>
      <c r="R8" s="19"/>
      <c r="S8" s="19"/>
      <c r="T8" s="19"/>
      <c r="U8" s="19"/>
    </row>
    <row r="9" spans="1:35" ht="198.4" customHeight="1" x14ac:dyDescent="0.45">
      <c r="A9" s="139" t="str">
        <f>Arbejdsark!$A$4</f>
        <v>Materialer</v>
      </c>
      <c r="B9" s="43" t="str">
        <f>Arbejdsark!$B$20</f>
        <v>1.4</v>
      </c>
      <c r="C9" s="45" t="str">
        <f>IF('Sortering af spørgsmål'!$C$6=Projektforudsætninger!$C$21,Arbejdsark!$C$20,"")</f>
        <v/>
      </c>
      <c r="D9" s="46">
        <f>Arbejdsark!D12</f>
        <v>0</v>
      </c>
      <c r="E9" s="45">
        <f>Arbejdsark!I12</f>
        <v>0</v>
      </c>
      <c r="F9" s="45">
        <f>Arbejdsark!J12</f>
        <v>0</v>
      </c>
      <c r="G9" s="45" t="e">
        <f>Arbejdsark!#REF!</f>
        <v>#REF!</v>
      </c>
      <c r="H9" s="45" t="e">
        <f>Arbejdsark!#REF!</f>
        <v>#REF!</v>
      </c>
      <c r="I9" s="45" t="str">
        <f>IF('Sortering af spørgsmål'!$C$6=Projektforudsætninger!$C$21,Arbejdsark!$K$20,"")</f>
        <v/>
      </c>
      <c r="J9" s="37" t="s">
        <v>9</v>
      </c>
      <c r="K9" s="37"/>
      <c r="L9" s="19"/>
      <c r="M9" s="19"/>
      <c r="N9" s="19"/>
      <c r="O9" s="19"/>
      <c r="P9" s="19"/>
      <c r="Q9" s="19"/>
      <c r="R9" s="19"/>
      <c r="S9" s="19"/>
      <c r="T9" s="19"/>
      <c r="U9" s="19"/>
      <c r="AD9" s="294" t="s">
        <v>10</v>
      </c>
      <c r="AF9" s="30">
        <v>1</v>
      </c>
    </row>
    <row r="10" spans="1:35" x14ac:dyDescent="0.45">
      <c r="A10" s="23"/>
      <c r="B10" s="38"/>
      <c r="C10" s="23"/>
      <c r="D10" s="24"/>
      <c r="E10" s="23"/>
      <c r="F10" s="23"/>
      <c r="G10" s="23"/>
      <c r="H10" s="23"/>
      <c r="I10" s="23"/>
      <c r="J10" s="29"/>
      <c r="K10" s="35"/>
      <c r="L10" s="19"/>
      <c r="M10" s="19"/>
      <c r="N10" s="19"/>
      <c r="O10" s="19"/>
      <c r="P10" s="19"/>
      <c r="Q10" s="19"/>
      <c r="R10" s="19"/>
      <c r="S10" s="19"/>
      <c r="T10" s="19"/>
      <c r="U10" s="19"/>
      <c r="AD10" s="294" t="s">
        <v>12</v>
      </c>
      <c r="AF10" s="30">
        <v>2</v>
      </c>
    </row>
    <row r="11" spans="1:35" ht="28.5" customHeight="1" x14ac:dyDescent="0.45">
      <c r="A11" s="50" t="str">
        <f>Arbejdsark!$A$25</f>
        <v>Energi</v>
      </c>
      <c r="B11" s="50">
        <v>2</v>
      </c>
      <c r="C11" s="50"/>
      <c r="D11" s="50"/>
      <c r="E11" s="50"/>
      <c r="F11" s="50"/>
      <c r="G11" s="50"/>
      <c r="H11" s="50"/>
      <c r="I11" s="50" t="str">
        <f>IF('Sortering af spørgsmål'!$C$7=Projektforudsætninger!$C$21,"Udfyld spørgsmål","Ingen spørgsmål")</f>
        <v>Ingen spørgsmål</v>
      </c>
      <c r="J11" s="51"/>
      <c r="K11" s="52"/>
      <c r="L11" s="19"/>
      <c r="M11" s="19"/>
      <c r="N11" s="19"/>
      <c r="O11" s="19"/>
      <c r="P11" s="19"/>
      <c r="Q11" s="19"/>
      <c r="R11" s="19"/>
      <c r="S11" s="19"/>
      <c r="T11" s="19"/>
      <c r="U11" s="19"/>
      <c r="AD11" s="294" t="s">
        <v>192</v>
      </c>
      <c r="AF11" s="30">
        <v>3</v>
      </c>
    </row>
    <row r="12" spans="1:35" ht="255.4" customHeight="1" x14ac:dyDescent="0.45">
      <c r="A12" s="45" t="str">
        <f>Arbejdsark!$A$25</f>
        <v>Energi</v>
      </c>
      <c r="B12" s="43" t="str">
        <f>Arbejdsark!$B$25</f>
        <v>2.1</v>
      </c>
      <c r="C12" s="45" t="str">
        <f>IF('Sortering af spørgsmål'!$C$7=Projektforudsætninger!$C$21,Arbejdsark!$C$25,"")</f>
        <v/>
      </c>
      <c r="D12" s="46" t="str">
        <f>Arbejdsark!D15</f>
        <v>ENV1.3</v>
      </c>
      <c r="E12" s="45" t="str">
        <f>Arbejdsark!I15</f>
        <v>x</v>
      </c>
      <c r="F12" s="45">
        <f>Arbejdsark!J15</f>
        <v>0</v>
      </c>
      <c r="G12" s="45" t="e">
        <f>Arbejdsark!#REF!</f>
        <v>#REF!</v>
      </c>
      <c r="H12" s="45" t="e">
        <f>Arbejdsark!#REF!</f>
        <v>#REF!</v>
      </c>
      <c r="I12" s="45" t="str">
        <f>IF('Sortering af spørgsmål'!$C$7=Projektforudsætninger!$C$21,Arbejdsark!$K$25,"")</f>
        <v/>
      </c>
      <c r="J12" s="37" t="s">
        <v>9</v>
      </c>
      <c r="K12" s="41"/>
      <c r="L12" s="19"/>
      <c r="M12" s="19"/>
      <c r="N12" s="19"/>
      <c r="O12" s="19"/>
      <c r="P12" s="19"/>
      <c r="Q12" s="19"/>
      <c r="R12" s="19"/>
      <c r="S12" s="19"/>
      <c r="T12" s="19"/>
      <c r="U12" s="19"/>
      <c r="AF12" s="30">
        <v>4</v>
      </c>
    </row>
    <row r="13" spans="1:35" ht="99.4" customHeight="1" x14ac:dyDescent="0.45">
      <c r="A13" s="45" t="str">
        <f>Arbejdsark!$A$25</f>
        <v>Energi</v>
      </c>
      <c r="B13" s="43" t="str">
        <f>Arbejdsark!$B$30</f>
        <v>2.2</v>
      </c>
      <c r="C13" s="45" t="str">
        <f>IF('Sortering af spørgsmål'!$C$7=Projektforudsætninger!$C$21,Arbejdsark!$C$30,"")</f>
        <v/>
      </c>
      <c r="D13" s="46">
        <f>Arbejdsark!D16</f>
        <v>0</v>
      </c>
      <c r="E13" s="45">
        <f>Arbejdsark!I16</f>
        <v>0</v>
      </c>
      <c r="F13" s="45">
        <f>Arbejdsark!J16</f>
        <v>0</v>
      </c>
      <c r="G13" s="45" t="e">
        <f>Arbejdsark!#REF!</f>
        <v>#REF!</v>
      </c>
      <c r="H13" s="45" t="e">
        <f>Arbejdsark!#REF!</f>
        <v>#REF!</v>
      </c>
      <c r="I13" s="45" t="str">
        <f>IF('Sortering af spørgsmål'!$C$7=Projektforudsætninger!$C$21,Arbejdsark!$K$30,"")</f>
        <v/>
      </c>
      <c r="J13" s="37" t="s">
        <v>9</v>
      </c>
      <c r="K13" s="41"/>
      <c r="L13" s="19"/>
      <c r="M13" s="19"/>
      <c r="N13" s="19"/>
      <c r="O13" s="19"/>
      <c r="P13" s="19"/>
      <c r="Q13" s="19"/>
      <c r="R13" s="19"/>
      <c r="S13" s="19"/>
      <c r="T13" s="19"/>
      <c r="U13" s="19"/>
      <c r="AD13" s="294" t="s">
        <v>51</v>
      </c>
    </row>
    <row r="14" spans="1:35" ht="34.9" x14ac:dyDescent="0.45">
      <c r="A14" s="45"/>
      <c r="B14" s="23"/>
      <c r="C14" s="45"/>
      <c r="D14" s="46"/>
      <c r="E14" s="45"/>
      <c r="F14" s="45"/>
      <c r="G14" s="45"/>
      <c r="H14" s="45"/>
      <c r="I14" s="45"/>
      <c r="J14" s="47"/>
      <c r="K14" s="48"/>
      <c r="L14" s="19"/>
      <c r="M14" s="19"/>
      <c r="N14" s="19"/>
      <c r="O14" s="19"/>
      <c r="P14" s="19"/>
      <c r="Q14" s="19"/>
      <c r="R14" s="19"/>
      <c r="S14" s="19"/>
      <c r="T14" s="19"/>
      <c r="U14" s="19"/>
      <c r="AD14" s="294" t="s">
        <v>176</v>
      </c>
      <c r="AF14" s="294">
        <v>3</v>
      </c>
    </row>
    <row r="15" spans="1:35" ht="28.5" customHeight="1" x14ac:dyDescent="0.45">
      <c r="A15" s="50" t="str">
        <f>Arbejdsark!$A$35</f>
        <v>Vand</v>
      </c>
      <c r="B15" s="50">
        <v>3</v>
      </c>
      <c r="C15" s="50"/>
      <c r="D15" s="50"/>
      <c r="E15" s="50"/>
      <c r="F15" s="50"/>
      <c r="G15" s="50"/>
      <c r="H15" s="50"/>
      <c r="I15" s="50" t="str">
        <f>IF('Sortering af spørgsmål'!$C$8=Projektforudsætninger!$C$21,"Udfyld spørgsmål","Ingen spørgsmål")</f>
        <v>Ingen spørgsmål</v>
      </c>
      <c r="J15" s="51"/>
      <c r="K15" s="52"/>
      <c r="L15" s="19"/>
      <c r="M15" s="19"/>
      <c r="N15" s="19"/>
      <c r="O15" s="19"/>
      <c r="P15" s="19"/>
      <c r="Q15" s="19"/>
      <c r="R15" s="19"/>
      <c r="S15" s="19"/>
      <c r="T15" s="19"/>
      <c r="U15" s="19"/>
      <c r="AD15" s="294" t="s">
        <v>55</v>
      </c>
      <c r="AE15" s="33"/>
      <c r="AF15" s="294">
        <v>2</v>
      </c>
    </row>
    <row r="16" spans="1:35" ht="170.25" customHeight="1" x14ac:dyDescent="0.45">
      <c r="A16" s="45" t="str">
        <f>Arbejdsark!$A$35</f>
        <v>Vand</v>
      </c>
      <c r="B16" s="43" t="str">
        <f>Arbejdsark!$B$35</f>
        <v>3.1</v>
      </c>
      <c r="C16" s="45" t="str">
        <f>IF('Sortering af spørgsmål'!$C$8=Projektforudsætninger!$C$21,Arbejdsark!$C$35,"")</f>
        <v/>
      </c>
      <c r="D16" s="46">
        <f>Arbejdsark!D18</f>
        <v>0</v>
      </c>
      <c r="E16" s="45">
        <f>Arbejdsark!I18</f>
        <v>0</v>
      </c>
      <c r="F16" s="45">
        <f>Arbejdsark!J18</f>
        <v>0</v>
      </c>
      <c r="G16" s="45" t="e">
        <f>Arbejdsark!#REF!</f>
        <v>#REF!</v>
      </c>
      <c r="H16" s="45" t="e">
        <f>Arbejdsark!#REF!</f>
        <v>#REF!</v>
      </c>
      <c r="I16" s="45" t="str">
        <f>IF('Sortering af spørgsmål'!$C$8=Projektforudsætninger!$C$21,Arbejdsark!$K$35,"")</f>
        <v/>
      </c>
      <c r="J16" s="37" t="s">
        <v>9</v>
      </c>
      <c r="K16" s="41"/>
      <c r="L16" s="19"/>
      <c r="M16" s="19"/>
      <c r="N16" s="19"/>
      <c r="O16" s="19"/>
      <c r="P16" s="19"/>
      <c r="Q16" s="19"/>
      <c r="R16" s="19"/>
      <c r="S16" s="19"/>
      <c r="T16" s="19"/>
      <c r="U16" s="19"/>
      <c r="AD16" s="294" t="s">
        <v>56</v>
      </c>
      <c r="AF16" s="294" t="s">
        <v>187</v>
      </c>
    </row>
    <row r="17" spans="1:25" ht="170.25" customHeight="1" x14ac:dyDescent="0.45">
      <c r="A17" s="45" t="str">
        <f>Arbejdsark!$A$35</f>
        <v>Vand</v>
      </c>
      <c r="B17" s="43" t="str">
        <f>Arbejdsark!$B$40</f>
        <v>3.2</v>
      </c>
      <c r="C17" s="45" t="str">
        <f>IF('Sortering af spørgsmål'!$C$8=Projektforudsætninger!$C$21,Arbejdsark!$C$40,"")</f>
        <v/>
      </c>
      <c r="D17" s="46" t="str">
        <f>Arbejdsark!D20</f>
        <v>ENV1.1 + ENV2.1
Vægtning: 40% af summen af ENV1.1 + ENV2.1 pkt. 1 og 2</v>
      </c>
      <c r="E17" s="45" t="str">
        <f>Arbejdsark!I20</f>
        <v>x</v>
      </c>
      <c r="F17" s="45">
        <f>Arbejdsark!J20</f>
        <v>0</v>
      </c>
      <c r="G17" s="45" t="e">
        <f>Arbejdsark!#REF!</f>
        <v>#REF!</v>
      </c>
      <c r="H17" s="45" t="e">
        <f>Arbejdsark!#REF!</f>
        <v>#REF!</v>
      </c>
      <c r="I17" s="45" t="str">
        <f>IF('Sortering af spørgsmål'!$C$8=Projektforudsætninger!$C$21,Arbejdsark!$K$40,"")</f>
        <v/>
      </c>
      <c r="J17" s="37" t="s">
        <v>9</v>
      </c>
      <c r="K17" s="41"/>
      <c r="L17" s="19"/>
      <c r="M17" s="19"/>
      <c r="N17" s="19"/>
      <c r="O17" s="19"/>
      <c r="P17" s="19"/>
      <c r="Q17" s="19"/>
      <c r="R17" s="19"/>
      <c r="S17" s="19"/>
      <c r="T17" s="19"/>
      <c r="U17" s="19"/>
      <c r="Y17" s="98"/>
    </row>
    <row r="18" spans="1:25" ht="113.65" customHeight="1" x14ac:dyDescent="0.45">
      <c r="A18" s="45" t="str">
        <f>Arbejdsark!$A$35</f>
        <v>Vand</v>
      </c>
      <c r="B18" s="43" t="str">
        <f>Arbejdsark!$B$45</f>
        <v>3.3</v>
      </c>
      <c r="C18" s="45" t="str">
        <f>IF('Sortering af spørgsmål'!$C$8=Projektforudsætninger!$C$21,Arbejdsark!$C$45,"")</f>
        <v/>
      </c>
      <c r="D18" s="46">
        <f>Arbejdsark!D21</f>
        <v>0</v>
      </c>
      <c r="E18" s="45">
        <f>Arbejdsark!I21</f>
        <v>0</v>
      </c>
      <c r="F18" s="45">
        <f>Arbejdsark!J21</f>
        <v>0</v>
      </c>
      <c r="G18" s="45" t="e">
        <f>Arbejdsark!#REF!</f>
        <v>#REF!</v>
      </c>
      <c r="H18" s="45" t="e">
        <f>Arbejdsark!#REF!</f>
        <v>#REF!</v>
      </c>
      <c r="I18" s="45" t="str">
        <f>IF('Sortering af spørgsmål'!$C$8=Projektforudsætninger!$C$21,Arbejdsark!$K$45,"")</f>
        <v/>
      </c>
      <c r="J18" s="37" t="s">
        <v>9</v>
      </c>
      <c r="K18" s="41"/>
      <c r="L18" s="19"/>
      <c r="M18" s="19"/>
      <c r="N18" s="19"/>
      <c r="O18" s="19"/>
      <c r="P18" s="19"/>
      <c r="Q18" s="19"/>
      <c r="R18" s="19"/>
      <c r="S18" s="19"/>
      <c r="T18" s="19"/>
      <c r="U18" s="19"/>
      <c r="Y18" s="98"/>
    </row>
    <row r="19" spans="1:25" x14ac:dyDescent="0.45">
      <c r="A19" s="45"/>
      <c r="B19" s="45"/>
      <c r="C19" s="45"/>
      <c r="D19" s="46"/>
      <c r="E19" s="45"/>
      <c r="F19" s="45"/>
      <c r="G19" s="45"/>
      <c r="H19" s="45"/>
      <c r="I19" s="45"/>
      <c r="J19" s="47"/>
      <c r="K19" s="48"/>
      <c r="L19" s="19"/>
      <c r="M19" s="19"/>
      <c r="N19" s="19"/>
      <c r="O19" s="19"/>
      <c r="P19" s="19"/>
      <c r="Q19" s="19"/>
      <c r="R19" s="19"/>
      <c r="S19" s="19"/>
      <c r="T19" s="19"/>
      <c r="U19" s="19"/>
      <c r="Y19" s="98"/>
    </row>
    <row r="20" spans="1:25" ht="28.5" customHeight="1" x14ac:dyDescent="0.45">
      <c r="A20" s="50" t="str">
        <f>Arbejdsark!$A$51</f>
        <v>Beplantning</v>
      </c>
      <c r="B20" s="50">
        <v>4</v>
      </c>
      <c r="C20" s="50"/>
      <c r="D20" s="50"/>
      <c r="E20" s="50"/>
      <c r="F20" s="50"/>
      <c r="G20" s="50"/>
      <c r="H20" s="50"/>
      <c r="I20" s="50" t="str">
        <f>IF('Sortering af spørgsmål'!$C$9=Projektforudsætninger!$C$21,"Udfyld spørgsmål","Ingen spørgsmål")</f>
        <v>Ingen spørgsmål</v>
      </c>
      <c r="J20" s="51"/>
      <c r="K20" s="52"/>
      <c r="L20" s="19"/>
      <c r="M20" s="19"/>
      <c r="N20" s="19"/>
      <c r="O20" s="19"/>
      <c r="P20" s="19"/>
      <c r="Q20" s="19"/>
      <c r="R20" s="19"/>
      <c r="S20" s="19"/>
      <c r="T20" s="19"/>
      <c r="U20" s="19"/>
      <c r="Y20" s="98"/>
    </row>
    <row r="21" spans="1:25" ht="141.75" customHeight="1" x14ac:dyDescent="0.45">
      <c r="A21" s="45" t="str">
        <f>Arbejdsark!$A$51</f>
        <v>Beplantning</v>
      </c>
      <c r="B21" s="43" t="str">
        <f>Arbejdsark!$B$51</f>
        <v>4.1</v>
      </c>
      <c r="C21" s="45" t="str">
        <f>IF('Sortering af spørgsmål'!$C$9=Projektforudsætninger!$C$21,Arbejdsark!$C$51,"")</f>
        <v/>
      </c>
      <c r="D21" s="46">
        <f>Arbejdsark!D23</f>
        <v>0</v>
      </c>
      <c r="E21" s="45">
        <f>Arbejdsark!I23</f>
        <v>0</v>
      </c>
      <c r="F21" s="45">
        <f>Arbejdsark!J23</f>
        <v>0</v>
      </c>
      <c r="G21" s="45" t="e">
        <f>Arbejdsark!#REF!</f>
        <v>#REF!</v>
      </c>
      <c r="H21" s="45" t="e">
        <f>Arbejdsark!#REF!</f>
        <v>#REF!</v>
      </c>
      <c r="I21" s="45" t="str">
        <f>IF('Sortering af spørgsmål'!$C$9=Projektforudsætninger!$C$21,Arbejdsark!$K$51,"")</f>
        <v/>
      </c>
      <c r="J21" s="37" t="s">
        <v>9</v>
      </c>
      <c r="K21" s="41"/>
      <c r="L21" s="19"/>
      <c r="M21" s="19"/>
      <c r="N21" s="19"/>
      <c r="O21" s="19"/>
      <c r="P21" s="19"/>
      <c r="Q21" s="19"/>
      <c r="R21" s="19"/>
      <c r="S21" s="19"/>
      <c r="T21" s="19"/>
      <c r="U21" s="19"/>
      <c r="Y21" s="98"/>
    </row>
    <row r="22" spans="1:25" ht="42.6" customHeight="1" x14ac:dyDescent="0.45">
      <c r="A22" s="45"/>
      <c r="B22" s="43" t="str">
        <f>Arbejdsark!$B$58</f>
        <v>4.2</v>
      </c>
      <c r="C22" s="45"/>
      <c r="D22" s="46"/>
      <c r="E22" s="45"/>
      <c r="F22" s="45"/>
      <c r="G22" s="45"/>
      <c r="H22" s="45"/>
      <c r="I22" s="45" t="str">
        <f>IF('Sortering af spørgsmål'!$C$9=Projektforudsætninger!$C$21,Arbejdsark!$K$58,"")</f>
        <v/>
      </c>
      <c r="J22" s="37" t="s">
        <v>9</v>
      </c>
      <c r="K22" s="41"/>
      <c r="L22" s="19"/>
      <c r="M22" s="19"/>
      <c r="N22" s="19"/>
      <c r="O22" s="19"/>
      <c r="P22" s="19"/>
      <c r="Q22" s="19"/>
      <c r="R22" s="19"/>
      <c r="S22" s="19"/>
      <c r="T22" s="19"/>
      <c r="U22" s="19"/>
      <c r="Y22" s="98"/>
    </row>
    <row r="23" spans="1:25" ht="113.65" customHeight="1" x14ac:dyDescent="0.45">
      <c r="A23" s="45" t="str">
        <f>Arbejdsark!$A$51</f>
        <v>Beplantning</v>
      </c>
      <c r="B23" s="43" t="str">
        <f>Arbejdsark!$B$63</f>
        <v>4.3</v>
      </c>
      <c r="C23" s="45" t="str">
        <f>IF('Sortering af spørgsmål'!$C$9=Projektforudsætninger!$C$21,Arbejdsark!$C$63,"")</f>
        <v/>
      </c>
      <c r="D23" s="46">
        <f>Arbejdsark!D24</f>
        <v>0</v>
      </c>
      <c r="E23" s="45">
        <f>Arbejdsark!I24</f>
        <v>0</v>
      </c>
      <c r="F23" s="45">
        <f>Arbejdsark!J24</f>
        <v>0</v>
      </c>
      <c r="G23" s="45" t="e">
        <f>Arbejdsark!#REF!</f>
        <v>#REF!</v>
      </c>
      <c r="H23" s="45" t="e">
        <f>Arbejdsark!#REF!</f>
        <v>#REF!</v>
      </c>
      <c r="I23" s="45" t="str">
        <f>IF('Sortering af spørgsmål'!$C$9=Projektforudsætninger!$C$21,Arbejdsark!$K$63,"")</f>
        <v/>
      </c>
      <c r="J23" s="37" t="s">
        <v>9</v>
      </c>
      <c r="K23" s="41"/>
      <c r="L23" s="19"/>
      <c r="M23" s="19"/>
      <c r="N23" s="19"/>
      <c r="O23" s="19"/>
      <c r="P23" s="19"/>
      <c r="Q23" s="19"/>
      <c r="R23" s="19"/>
      <c r="S23" s="19"/>
      <c r="T23" s="19"/>
      <c r="U23" s="19"/>
    </row>
    <row r="24" spans="1:25" ht="129" customHeight="1" x14ac:dyDescent="0.45">
      <c r="A24" s="45" t="str">
        <f>Arbejdsark!$A$51</f>
        <v>Beplantning</v>
      </c>
      <c r="B24" s="43" t="str">
        <f>Arbejdsark!$B$68</f>
        <v>4.4</v>
      </c>
      <c r="C24" s="45" t="str">
        <f>IF('Sortering af spørgsmål'!$C$9=Projektforudsætninger!$C$21,Arbejdsark!$C$68,"")</f>
        <v/>
      </c>
      <c r="D24" s="46" t="str">
        <f>Arbejdsark!D25</f>
        <v>ENV2.1
Vægtning: ENV2.1 pkt. 3</v>
      </c>
      <c r="E24" s="45" t="str">
        <f>Arbejdsark!I25</f>
        <v>x</v>
      </c>
      <c r="F24" s="45">
        <f>Arbejdsark!J25</f>
        <v>0</v>
      </c>
      <c r="G24" s="45" t="e">
        <f>Arbejdsark!#REF!</f>
        <v>#REF!</v>
      </c>
      <c r="H24" s="45" t="e">
        <f>Arbejdsark!#REF!</f>
        <v>#REF!</v>
      </c>
      <c r="I24" s="45" t="str">
        <f>IF('Sortering af spørgsmål'!$C$9=Projektforudsætninger!$C$21,Arbejdsark!$K$68,"")</f>
        <v/>
      </c>
      <c r="J24" s="37" t="s">
        <v>9</v>
      </c>
      <c r="K24" s="41"/>
      <c r="L24" s="19"/>
      <c r="M24" s="19"/>
      <c r="N24" s="19"/>
      <c r="O24" s="19"/>
      <c r="P24" s="19"/>
      <c r="Q24" s="19"/>
      <c r="R24" s="19"/>
      <c r="S24" s="19"/>
      <c r="T24" s="19"/>
      <c r="U24" s="19"/>
    </row>
    <row r="25" spans="1:25" x14ac:dyDescent="0.45">
      <c r="A25" s="45"/>
      <c r="B25" s="134"/>
      <c r="C25" s="45"/>
      <c r="D25" s="46"/>
      <c r="E25" s="45"/>
      <c r="F25" s="45"/>
      <c r="G25" s="45"/>
      <c r="H25" s="45"/>
      <c r="I25" s="45"/>
      <c r="J25" s="47"/>
      <c r="K25" s="48"/>
      <c r="L25" s="19"/>
      <c r="M25" s="19"/>
      <c r="N25" s="19"/>
      <c r="O25" s="19"/>
      <c r="P25" s="19"/>
      <c r="Q25" s="19"/>
      <c r="R25" s="19"/>
      <c r="S25" s="19"/>
      <c r="T25" s="19"/>
      <c r="U25" s="19"/>
    </row>
    <row r="26" spans="1:25" ht="28.5" customHeight="1" x14ac:dyDescent="0.45">
      <c r="A26" s="50" t="str">
        <f>Arbejdsark!$A$73</f>
        <v>Bebyggelsestæthed</v>
      </c>
      <c r="B26" s="50">
        <v>5</v>
      </c>
      <c r="C26" s="50"/>
      <c r="D26" s="50"/>
      <c r="E26" s="50"/>
      <c r="F26" s="50"/>
      <c r="G26" s="50"/>
      <c r="H26" s="50"/>
      <c r="I26" s="50" t="str">
        <f>IF('Sortering af spørgsmål'!$C$10=Projektforudsætninger!$C$21,"Udfyld spørgsmål","Ingen spørgsmål")</f>
        <v>Ingen spørgsmål</v>
      </c>
      <c r="J26" s="51"/>
      <c r="K26" s="52"/>
      <c r="L26" s="19"/>
      <c r="M26" s="19"/>
      <c r="N26" s="19"/>
      <c r="O26" s="19"/>
      <c r="P26" s="19"/>
      <c r="Q26" s="19"/>
      <c r="R26" s="19"/>
      <c r="S26" s="19"/>
      <c r="T26" s="19"/>
      <c r="U26" s="19"/>
    </row>
    <row r="27" spans="1:25" ht="170.25" customHeight="1" x14ac:dyDescent="0.45">
      <c r="A27" s="45" t="str">
        <f>Arbejdsark!$A$73</f>
        <v>Bebyggelsestæthed</v>
      </c>
      <c r="B27" s="43" t="str">
        <f>Arbejdsark!$B$73</f>
        <v>5.1</v>
      </c>
      <c r="C27" s="45" t="str">
        <f>IF(Projektforudsætninger!C37=Projektforudsætninger!H7,IF('Sortering af spørgsmål'!$C$10=Projektforudsætninger!$C$21,Arbejdsark!$C$73,""),"")</f>
        <v/>
      </c>
      <c r="D27" s="46">
        <f>Arbejdsark!D27</f>
        <v>0</v>
      </c>
      <c r="E27" s="45">
        <f>Arbejdsark!I27</f>
        <v>0</v>
      </c>
      <c r="F27" s="45">
        <f>Arbejdsark!J27</f>
        <v>0</v>
      </c>
      <c r="G27" s="45" t="e">
        <f>Arbejdsark!#REF!</f>
        <v>#REF!</v>
      </c>
      <c r="H27" s="45" t="e">
        <f>Arbejdsark!#REF!</f>
        <v>#REF!</v>
      </c>
      <c r="I27" s="45" t="str">
        <f>IF(Projektforudsætninger!C37=Projektforudsætninger!H7,IF('Sortering af spørgsmål'!$C$10=Projektforudsætninger!$C$21,Arbejdsark!$K$73,""),"")</f>
        <v/>
      </c>
      <c r="J27" s="37" t="s">
        <v>9</v>
      </c>
      <c r="K27" s="41"/>
      <c r="L27" s="19"/>
      <c r="M27" s="19"/>
      <c r="N27" s="19"/>
      <c r="O27" s="19"/>
      <c r="P27" s="19"/>
      <c r="Q27" s="19"/>
      <c r="R27" s="19"/>
      <c r="S27" s="19"/>
      <c r="T27" s="19"/>
      <c r="U27" s="19"/>
    </row>
    <row r="28" spans="1:25" x14ac:dyDescent="0.45">
      <c r="A28" s="45"/>
      <c r="B28" s="45"/>
      <c r="C28" s="45"/>
      <c r="D28" s="46"/>
      <c r="E28" s="45"/>
      <c r="F28" s="45"/>
      <c r="G28" s="45"/>
      <c r="H28" s="45"/>
      <c r="I28" s="45"/>
      <c r="J28" s="47"/>
      <c r="K28" s="48"/>
      <c r="L28" s="19"/>
      <c r="M28" s="19"/>
      <c r="N28" s="19"/>
      <c r="O28" s="19"/>
      <c r="P28" s="19"/>
      <c r="Q28" s="19"/>
      <c r="R28" s="19"/>
      <c r="S28" s="19"/>
      <c r="T28" s="19"/>
      <c r="U28" s="19"/>
    </row>
    <row r="29" spans="1:25" ht="28.5" customHeight="1" x14ac:dyDescent="0.45">
      <c r="A29" s="50" t="str">
        <f>Arbejdsark!$A$78</f>
        <v>Forurening</v>
      </c>
      <c r="B29" s="50">
        <v>6</v>
      </c>
      <c r="C29" s="50"/>
      <c r="D29" s="50"/>
      <c r="E29" s="50"/>
      <c r="F29" s="50"/>
      <c r="G29" s="50"/>
      <c r="H29" s="50"/>
      <c r="I29" s="50" t="str">
        <f>IF('Sortering af spørgsmål'!$C$11=Projektforudsætninger!$C$21,"Udfyld spørgsmål","Ingen spørgsmål")</f>
        <v>Ingen spørgsmål</v>
      </c>
      <c r="J29" s="51"/>
      <c r="K29" s="52"/>
      <c r="L29" s="19"/>
      <c r="M29" s="19"/>
      <c r="N29" s="19"/>
      <c r="O29" s="19"/>
      <c r="P29" s="19"/>
      <c r="Q29" s="19"/>
      <c r="R29" s="19"/>
      <c r="S29" s="19"/>
      <c r="T29" s="19"/>
      <c r="U29" s="19"/>
    </row>
    <row r="30" spans="1:25" ht="107.25" customHeight="1" x14ac:dyDescent="0.45">
      <c r="A30" s="45" t="str">
        <f>Arbejdsark!$A$78</f>
        <v>Forurening</v>
      </c>
      <c r="B30" s="43" t="str">
        <f>Arbejdsark!$B$78</f>
        <v>6.1</v>
      </c>
      <c r="C30" s="45" t="str">
        <f>IF('Sortering af spørgsmål'!$C$11=Projektforudsætninger!$C$21,Arbejdsark!$C$78,"")</f>
        <v/>
      </c>
      <c r="D30" s="46">
        <f>Arbejdsark!D29</f>
        <v>0</v>
      </c>
      <c r="E30" s="45">
        <f>Arbejdsark!I29</f>
        <v>0</v>
      </c>
      <c r="F30" s="45">
        <f>Arbejdsark!J29</f>
        <v>0</v>
      </c>
      <c r="G30" s="45" t="e">
        <f>Arbejdsark!#REF!</f>
        <v>#REF!</v>
      </c>
      <c r="H30" s="45" t="e">
        <f>Arbejdsark!#REF!</f>
        <v>#REF!</v>
      </c>
      <c r="I30" s="45" t="str">
        <f>IF('Sortering af spørgsmål'!$C$11=Projektforudsætninger!$C$21,Arbejdsark!$K$78,"")</f>
        <v/>
      </c>
      <c r="J30" s="37" t="s">
        <v>9</v>
      </c>
      <c r="K30" s="41"/>
      <c r="L30" s="19"/>
      <c r="M30" s="19"/>
      <c r="N30" s="19"/>
      <c r="O30" s="19"/>
      <c r="P30" s="19"/>
      <c r="Q30" s="19"/>
      <c r="R30" s="19"/>
      <c r="S30" s="19"/>
      <c r="T30" s="19"/>
      <c r="U30" s="19"/>
    </row>
    <row r="31" spans="1:25" ht="226.9" customHeight="1" x14ac:dyDescent="0.45">
      <c r="A31" s="45" t="str">
        <f>Arbejdsark!$A$78</f>
        <v>Forurening</v>
      </c>
      <c r="B31" s="43" t="str">
        <f>Arbejdsark!$B$84</f>
        <v>6.2</v>
      </c>
      <c r="C31" s="45" t="str">
        <f>IF('Sortering af spørgsmål'!$C$11=Projektforudsætninger!$C$21,Arbejdsark!$C$84,"")</f>
        <v/>
      </c>
      <c r="D31" s="46">
        <f>Arbejdsark!D31</f>
        <v>0</v>
      </c>
      <c r="E31" s="45">
        <f>Arbejdsark!I31</f>
        <v>0</v>
      </c>
      <c r="F31" s="45">
        <f>Arbejdsark!J31</f>
        <v>0</v>
      </c>
      <c r="G31" s="45" t="e">
        <f>Arbejdsark!#REF!</f>
        <v>#REF!</v>
      </c>
      <c r="H31" s="45" t="e">
        <f>Arbejdsark!#REF!</f>
        <v>#REF!</v>
      </c>
      <c r="I31" s="45" t="str">
        <f>IF('Sortering af spørgsmål'!$C$11=Projektforudsætninger!$C$21,Arbejdsark!$K$84,"")</f>
        <v/>
      </c>
      <c r="J31" s="37" t="s">
        <v>9</v>
      </c>
      <c r="K31" s="41"/>
      <c r="L31" s="19"/>
      <c r="M31" s="19"/>
      <c r="N31" s="19"/>
      <c r="O31" s="19"/>
      <c r="P31" s="19"/>
      <c r="Q31" s="19"/>
      <c r="R31" s="19"/>
      <c r="S31" s="19"/>
      <c r="T31" s="19"/>
      <c r="U31" s="19"/>
    </row>
    <row r="32" spans="1:25" x14ac:dyDescent="0.45">
      <c r="A32" s="45"/>
      <c r="B32" s="45"/>
      <c r="C32" s="45"/>
      <c r="D32" s="46"/>
      <c r="E32" s="45"/>
      <c r="F32" s="45"/>
      <c r="G32" s="45"/>
      <c r="H32" s="45"/>
      <c r="I32" s="45"/>
      <c r="J32" s="47"/>
      <c r="K32" s="48"/>
      <c r="L32" s="19"/>
      <c r="M32" s="19"/>
      <c r="N32" s="19"/>
      <c r="O32" s="19"/>
      <c r="P32" s="19"/>
      <c r="Q32" s="19"/>
      <c r="R32" s="19"/>
      <c r="S32" s="19"/>
      <c r="T32" s="19"/>
      <c r="U32" s="19"/>
    </row>
    <row r="33" spans="1:30" ht="28.5" customHeight="1" x14ac:dyDescent="0.45">
      <c r="A33" s="66" t="str">
        <f>Arbejdsark!$A$89</f>
        <v>ØKONOMISK  KVALITET</v>
      </c>
      <c r="B33" s="36"/>
      <c r="C33" s="66"/>
      <c r="D33" s="66"/>
      <c r="E33" s="66"/>
      <c r="F33" s="66"/>
      <c r="G33" s="66"/>
      <c r="H33" s="66"/>
      <c r="I33" s="36"/>
      <c r="J33" s="39"/>
      <c r="K33" s="40"/>
      <c r="L33" s="19"/>
      <c r="M33" s="19"/>
      <c r="N33" s="19"/>
      <c r="O33" s="19"/>
      <c r="P33" s="19"/>
      <c r="Q33" s="19"/>
      <c r="R33" s="19"/>
      <c r="S33" s="19"/>
      <c r="T33" s="19"/>
      <c r="U33" s="19"/>
      <c r="AD33" s="294" t="s">
        <v>24</v>
      </c>
    </row>
    <row r="34" spans="1:30" s="33" customFormat="1" ht="28.5" customHeight="1" x14ac:dyDescent="0.45">
      <c r="A34" s="58" t="str">
        <f>$A$4</f>
        <v>Tema</v>
      </c>
      <c r="B34" s="58" t="s">
        <v>179</v>
      </c>
      <c r="C34" s="58" t="str">
        <f>$C$4</f>
        <v>Emne</v>
      </c>
      <c r="D34" s="58" t="str">
        <f>D4</f>
        <v>DGNB kriterium</v>
      </c>
      <c r="E34" s="58" t="str">
        <f>E4</f>
        <v>Byggeudvalg eller Hovedbestyrelse</v>
      </c>
      <c r="F34" s="58" t="str">
        <f>F4</f>
        <v>Projektleder</v>
      </c>
      <c r="G34" s="58" t="str">
        <f>G4</f>
        <v>#REFERENCE!</v>
      </c>
      <c r="H34" s="58" t="str">
        <f>H4</f>
        <v>Ikon</v>
      </c>
      <c r="I34" s="58" t="str">
        <f>$I$4</f>
        <v>Spørgsmål</v>
      </c>
      <c r="J34" s="59" t="str">
        <f>$J$4</f>
        <v>Svar</v>
      </c>
      <c r="K34" s="60" t="str">
        <f>$K$4</f>
        <v>Uddybende kommentarer</v>
      </c>
      <c r="L34" s="32"/>
      <c r="M34" s="32"/>
      <c r="N34" s="32"/>
      <c r="O34" s="32"/>
      <c r="P34" s="32"/>
      <c r="Q34" s="32"/>
      <c r="R34" s="32"/>
      <c r="S34" s="32"/>
      <c r="T34" s="32"/>
      <c r="U34" s="32"/>
      <c r="AD34" s="294" t="s">
        <v>26</v>
      </c>
    </row>
    <row r="35" spans="1:30" s="33" customFormat="1" ht="28.5" customHeight="1" x14ac:dyDescent="0.45">
      <c r="A35" s="36" t="str">
        <f>Arbejdsark!$A$91</f>
        <v>Levetidsomkostninger</v>
      </c>
      <c r="B35" s="36">
        <v>1</v>
      </c>
      <c r="C35" s="36"/>
      <c r="D35" s="36"/>
      <c r="E35" s="36"/>
      <c r="F35" s="36"/>
      <c r="G35" s="36"/>
      <c r="H35" s="36"/>
      <c r="I35" s="36" t="str">
        <f>IF('Sortering af spørgsmål'!$C$12=Projektforudsætninger!$C$21,"Udfyld spørgsmål","Ingen spørgsmål")</f>
        <v>Ingen spørgsmål</v>
      </c>
      <c r="J35" s="39"/>
      <c r="K35" s="40"/>
      <c r="L35" s="32"/>
      <c r="M35" s="32"/>
      <c r="N35" s="32"/>
      <c r="O35" s="32"/>
      <c r="P35" s="32"/>
      <c r="Q35" s="32"/>
      <c r="R35" s="32"/>
      <c r="S35" s="32"/>
      <c r="T35" s="32"/>
      <c r="U35" s="32"/>
      <c r="AD35" s="294" t="s">
        <v>28</v>
      </c>
    </row>
    <row r="36" spans="1:30" ht="170.25" customHeight="1" x14ac:dyDescent="0.45">
      <c r="A36" s="45" t="str">
        <f>Arbejdsark!$A$91</f>
        <v>Levetidsomkostninger</v>
      </c>
      <c r="B36" s="43" t="str">
        <f>Arbejdsark!$B$91</f>
        <v>1.1</v>
      </c>
      <c r="C36" s="45" t="str">
        <f>IF('Sortering af spørgsmål'!$C$12=Projektforudsætninger!$C$21,Arbejdsark!$C$91,"")</f>
        <v/>
      </c>
      <c r="D36" s="46" t="str">
        <f>Arbejdsark!D35</f>
        <v>ENV2.2
Vægtning: 20% af ENV2.2</v>
      </c>
      <c r="E36" s="45" t="str">
        <f>Arbejdsark!I35</f>
        <v>x</v>
      </c>
      <c r="F36" s="45">
        <f>Arbejdsark!J35</f>
        <v>0</v>
      </c>
      <c r="G36" s="45" t="e">
        <f>Arbejdsark!#REF!</f>
        <v>#REF!</v>
      </c>
      <c r="H36" s="45" t="e">
        <f>Arbejdsark!#REF!</f>
        <v>#REF!</v>
      </c>
      <c r="I36" s="45" t="str">
        <f>IF('Sortering af spørgsmål'!$C$12=Projektforudsætninger!$C$21,Arbejdsark!$K$91,"")</f>
        <v/>
      </c>
      <c r="J36" s="37" t="s">
        <v>9</v>
      </c>
      <c r="K36" s="41"/>
      <c r="L36" s="19"/>
      <c r="M36" s="19"/>
      <c r="N36" s="19"/>
      <c r="O36" s="19"/>
      <c r="P36" s="19"/>
      <c r="Q36" s="19"/>
      <c r="R36" s="19"/>
      <c r="S36" s="19"/>
      <c r="T36" s="19"/>
      <c r="U36" s="19"/>
      <c r="AD36" s="294" t="s">
        <v>30</v>
      </c>
    </row>
    <row r="37" spans="1:30" ht="113.65" customHeight="1" x14ac:dyDescent="0.45">
      <c r="A37" s="45" t="str">
        <f>Arbejdsark!$A$91</f>
        <v>Levetidsomkostninger</v>
      </c>
      <c r="B37" s="43" t="str">
        <f>Arbejdsark!$B$109</f>
        <v>1.2</v>
      </c>
      <c r="C37" s="45" t="str">
        <f>IF('Sortering af spørgsmål'!$C$12=Projektforudsætninger!$C$21,Arbejdsark!$C$109,"")</f>
        <v/>
      </c>
      <c r="D37" s="46">
        <f>Arbejdsark!D37</f>
        <v>0</v>
      </c>
      <c r="E37" s="45">
        <f>Arbejdsark!I37</f>
        <v>0</v>
      </c>
      <c r="F37" s="45">
        <f>Arbejdsark!J37</f>
        <v>0</v>
      </c>
      <c r="G37" s="45" t="e">
        <f>Arbejdsark!#REF!</f>
        <v>#REF!</v>
      </c>
      <c r="H37" s="45" t="e">
        <f>Arbejdsark!#REF!</f>
        <v>#REF!</v>
      </c>
      <c r="I37" s="45" t="str">
        <f>IF('Sortering af spørgsmål'!$C$12=Projektforudsætninger!$C$21,Arbejdsark!$K$109,"")</f>
        <v/>
      </c>
      <c r="J37" s="37" t="s">
        <v>9</v>
      </c>
      <c r="K37" s="41"/>
      <c r="L37" s="19"/>
      <c r="M37" s="19"/>
      <c r="N37" s="19"/>
      <c r="O37" s="19"/>
      <c r="P37" s="19"/>
      <c r="Q37" s="19"/>
      <c r="R37" s="19"/>
      <c r="S37" s="19"/>
      <c r="T37" s="19"/>
      <c r="U37" s="19"/>
      <c r="AD37" s="294" t="s">
        <v>33</v>
      </c>
    </row>
    <row r="38" spans="1:30" ht="23.25" x14ac:dyDescent="0.45">
      <c r="A38" s="45"/>
      <c r="B38" s="45"/>
      <c r="C38" s="45"/>
      <c r="D38" s="46"/>
      <c r="E38" s="45"/>
      <c r="F38" s="45"/>
      <c r="G38" s="45"/>
      <c r="H38" s="45"/>
      <c r="I38" s="45"/>
      <c r="J38" s="47"/>
      <c r="K38" s="48"/>
      <c r="L38" s="19"/>
      <c r="M38" s="19"/>
      <c r="N38" s="19"/>
      <c r="O38" s="19"/>
      <c r="P38" s="19"/>
      <c r="Q38" s="19"/>
      <c r="R38" s="19"/>
      <c r="S38" s="19"/>
      <c r="T38" s="19"/>
      <c r="U38" s="19"/>
      <c r="AD38" s="294" t="s">
        <v>35</v>
      </c>
    </row>
    <row r="39" spans="1:30" ht="28.5" customHeight="1" x14ac:dyDescent="0.45">
      <c r="A39" s="36" t="str">
        <f>Arbejdsark!$A$114</f>
        <v>Fleksibilitet</v>
      </c>
      <c r="B39" s="36" t="str">
        <f>Arbejdsark!$B$114</f>
        <v>2.1</v>
      </c>
      <c r="C39" s="36"/>
      <c r="D39" s="36"/>
      <c r="E39" s="36"/>
      <c r="F39" s="36"/>
      <c r="G39" s="36"/>
      <c r="H39" s="36"/>
      <c r="I39" s="36" t="str">
        <f>IF('Sortering af spørgsmål'!$C$13=Projektforudsætninger!$C$21,"Udfyld spørgsmål","Ingen spørgsmål")</f>
        <v>Ingen spørgsmål</v>
      </c>
      <c r="J39" s="39"/>
      <c r="K39" s="40"/>
      <c r="L39" s="19"/>
      <c r="M39" s="19"/>
      <c r="N39" s="19"/>
      <c r="O39" s="19"/>
      <c r="P39" s="19"/>
      <c r="Q39" s="19"/>
      <c r="R39" s="19"/>
      <c r="S39" s="19"/>
      <c r="T39" s="19"/>
      <c r="U39" s="19"/>
      <c r="AD39" s="294" t="s">
        <v>37</v>
      </c>
    </row>
    <row r="40" spans="1:30" ht="170.25" customHeight="1" x14ac:dyDescent="0.45">
      <c r="A40" s="45" t="str">
        <f>Arbejdsark!$A$114</f>
        <v>Fleksibilitet</v>
      </c>
      <c r="B40" s="43" t="str">
        <f>Arbejdsark!$B$114</f>
        <v>2.1</v>
      </c>
      <c r="C40" s="45" t="str">
        <f>IF('Sortering af spørgsmål'!$C$13=Projektforudsætninger!$C$21,Arbejdsark!$C$114,"")</f>
        <v/>
      </c>
      <c r="D40" s="46">
        <f>Arbejdsark!D39</f>
        <v>0</v>
      </c>
      <c r="E40" s="45">
        <f>Arbejdsark!I39</f>
        <v>0</v>
      </c>
      <c r="F40" s="45">
        <f>Arbejdsark!J39</f>
        <v>0</v>
      </c>
      <c r="G40" s="45" t="e">
        <f>Arbejdsark!#REF!</f>
        <v>#REF!</v>
      </c>
      <c r="H40" s="45" t="e">
        <f>Arbejdsark!#REF!</f>
        <v>#REF!</v>
      </c>
      <c r="I40" s="45" t="str">
        <f>IF('Sortering af spørgsmål'!$C$13=Projektforudsætninger!$C$21,Arbejdsark!$K$114,"")</f>
        <v/>
      </c>
      <c r="J40" s="37" t="s">
        <v>9</v>
      </c>
      <c r="K40" s="41"/>
      <c r="L40" s="19"/>
      <c r="M40" s="19"/>
      <c r="N40" s="19"/>
      <c r="O40" s="19"/>
      <c r="P40" s="19"/>
      <c r="Q40" s="19"/>
      <c r="R40" s="19"/>
      <c r="S40" s="19"/>
      <c r="T40" s="19"/>
      <c r="U40" s="19"/>
      <c r="AD40" s="294" t="s">
        <v>39</v>
      </c>
    </row>
    <row r="41" spans="1:30" ht="198.4" customHeight="1" x14ac:dyDescent="0.45">
      <c r="A41" s="45" t="str">
        <f>Arbejdsark!$A$114</f>
        <v>Fleksibilitet</v>
      </c>
      <c r="B41" s="43" t="str">
        <f>Arbejdsark!$B$119</f>
        <v>2.2</v>
      </c>
      <c r="C41" s="45" t="str">
        <f>IF('Sortering af spørgsmål'!$C$13=Projektforudsætninger!$C$21,Arbejdsark!$C$119,"")</f>
        <v/>
      </c>
      <c r="D41" s="46" t="str">
        <f>Arbejdsark!D40</f>
        <v>ENV2.2
Vægtning: 20% af ENV2.2</v>
      </c>
      <c r="E41" s="45" t="str">
        <f>Arbejdsark!I40</f>
        <v>x</v>
      </c>
      <c r="F41" s="45">
        <f>Arbejdsark!J40</f>
        <v>0</v>
      </c>
      <c r="G41" s="45" t="e">
        <f>Arbejdsark!#REF!</f>
        <v>#REF!</v>
      </c>
      <c r="H41" s="45" t="e">
        <f>Arbejdsark!#REF!</f>
        <v>#REF!</v>
      </c>
      <c r="I41" s="45" t="str">
        <f>IF('Sortering af spørgsmål'!$C$13=Projektforudsætninger!$C$21,Arbejdsark!$K$119,"")</f>
        <v/>
      </c>
      <c r="J41" s="37" t="s">
        <v>9</v>
      </c>
      <c r="K41" s="41"/>
      <c r="L41" s="19"/>
      <c r="M41" s="19"/>
      <c r="N41" s="19"/>
      <c r="O41" s="19"/>
      <c r="P41" s="19"/>
      <c r="Q41" s="19"/>
      <c r="R41" s="19"/>
      <c r="S41" s="19"/>
      <c r="T41" s="19"/>
      <c r="U41" s="19"/>
      <c r="AD41" s="294" t="s">
        <v>45</v>
      </c>
    </row>
    <row r="42" spans="1:30" ht="184.5" customHeight="1" x14ac:dyDescent="0.45">
      <c r="A42" s="45" t="str">
        <f>Arbejdsark!$A$114</f>
        <v>Fleksibilitet</v>
      </c>
      <c r="B42" s="43" t="str">
        <f>Arbejdsark!$B$124</f>
        <v>2.3</v>
      </c>
      <c r="C42" s="45" t="str">
        <f>IF('Sortering af spørgsmål'!$C$13=Projektforudsætninger!$C$21,Arbejdsark!$C$124,"")</f>
        <v/>
      </c>
      <c r="D42" s="46">
        <f>Arbejdsark!D41</f>
        <v>0</v>
      </c>
      <c r="E42" s="45">
        <f>Arbejdsark!I41</f>
        <v>0</v>
      </c>
      <c r="F42" s="45">
        <f>Arbejdsark!J41</f>
        <v>0</v>
      </c>
      <c r="G42" s="45" t="e">
        <f>Arbejdsark!#REF!</f>
        <v>#REF!</v>
      </c>
      <c r="H42" s="45" t="e">
        <f>Arbejdsark!#REF!</f>
        <v>#REF!</v>
      </c>
      <c r="I42" s="45" t="str">
        <f>IF('Sortering af spørgsmål'!$C$13=Projektforudsætninger!$C$21,Arbejdsark!$K$124,"")</f>
        <v/>
      </c>
      <c r="J42" s="37" t="s">
        <v>9</v>
      </c>
      <c r="K42" s="41"/>
      <c r="L42" s="19"/>
      <c r="M42" s="19"/>
      <c r="N42" s="19"/>
      <c r="O42" s="19"/>
      <c r="P42" s="19"/>
      <c r="Q42" s="19"/>
      <c r="R42" s="19"/>
      <c r="S42" s="19"/>
      <c r="T42" s="19"/>
      <c r="U42" s="19"/>
    </row>
    <row r="43" spans="1:30" ht="226.9" customHeight="1" x14ac:dyDescent="0.45">
      <c r="A43" s="45" t="str">
        <f>Arbejdsark!$A$114</f>
        <v>Fleksibilitet</v>
      </c>
      <c r="B43" s="43" t="str">
        <f>Arbejdsark!$B$129</f>
        <v>2.4</v>
      </c>
      <c r="C43" s="45" t="str">
        <f>IF('Sortering af spørgsmål'!$C$13=Projektforudsætninger!$C$21,Arbejdsark!$C$129,"")</f>
        <v/>
      </c>
      <c r="D43" s="46">
        <f>Arbejdsark!D42</f>
        <v>0</v>
      </c>
      <c r="E43" s="45">
        <f>Arbejdsark!I42</f>
        <v>0</v>
      </c>
      <c r="F43" s="45">
        <f>Arbejdsark!J42</f>
        <v>0</v>
      </c>
      <c r="G43" s="45" t="e">
        <f>Arbejdsark!#REF!</f>
        <v>#REF!</v>
      </c>
      <c r="H43" s="45" t="e">
        <f>Arbejdsark!#REF!</f>
        <v>#REF!</v>
      </c>
      <c r="I43" s="45" t="str">
        <f>IF('Sortering af spørgsmål'!$C$13=Projektforudsætninger!$C$21,Arbejdsark!$K$129,"")</f>
        <v/>
      </c>
      <c r="J43" s="37" t="s">
        <v>9</v>
      </c>
      <c r="K43" s="41"/>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spørgsmål'!$C$13=Projektforudsætninger!$C$21,Arbejdsark!$C$134,"")</f>
        <v/>
      </c>
      <c r="D44" s="46">
        <f>Arbejdsark!D43</f>
        <v>0</v>
      </c>
      <c r="E44" s="45">
        <f>Arbejdsark!I43</f>
        <v>0</v>
      </c>
      <c r="F44" s="45">
        <f>Arbejdsark!J43</f>
        <v>0</v>
      </c>
      <c r="G44" s="45" t="e">
        <f>Arbejdsark!#REF!</f>
        <v>#REF!</v>
      </c>
      <c r="H44" s="45" t="e">
        <f>Arbejdsark!#REF!</f>
        <v>#REF!</v>
      </c>
      <c r="I44" s="45" t="str">
        <f>IF('Sortering af spørgsmål'!$C$13=Projektforudsætninger!$C$21,Arbejdsark!$K$134,"")</f>
        <v/>
      </c>
      <c r="J44" s="37" t="s">
        <v>9</v>
      </c>
      <c r="K44" s="41"/>
      <c r="L44" s="19"/>
      <c r="M44" s="19"/>
      <c r="N44" s="19"/>
      <c r="O44" s="19"/>
      <c r="P44" s="19"/>
      <c r="Q44" s="19"/>
      <c r="R44" s="19"/>
      <c r="S44" s="19"/>
      <c r="T44" s="19"/>
      <c r="U44" s="19"/>
    </row>
    <row r="45" spans="1:30" ht="184.5" customHeight="1" x14ac:dyDescent="0.45">
      <c r="A45" s="45" t="str">
        <f>Arbejdsark!$A$114</f>
        <v>Fleksibilitet</v>
      </c>
      <c r="B45" s="43" t="str">
        <f>Arbejdsark!$B$139</f>
        <v>2.6</v>
      </c>
      <c r="C45" s="45" t="str">
        <f>IF('Sortering af spørgsmål'!$C$13=Projektforudsætninger!$C$21,Arbejdsark!$C$139,"")</f>
        <v/>
      </c>
      <c r="D45" s="46">
        <f>Arbejdsark!D44</f>
        <v>0</v>
      </c>
      <c r="E45" s="45">
        <f>Arbejdsark!I44</f>
        <v>0</v>
      </c>
      <c r="F45" s="45">
        <f>Arbejdsark!J44</f>
        <v>0</v>
      </c>
      <c r="G45" s="45" t="e">
        <f>Arbejdsark!#REF!</f>
        <v>#REF!</v>
      </c>
      <c r="H45" s="45" t="e">
        <f>Arbejdsark!#REF!</f>
        <v>#REF!</v>
      </c>
      <c r="I45" s="45" t="str">
        <f>IF('Sortering af spørgsmål'!$C$13=Projektforudsætninger!$C$21,Arbejdsark!$K$139,"")</f>
        <v/>
      </c>
      <c r="J45" s="37" t="s">
        <v>9</v>
      </c>
      <c r="K45" s="41"/>
      <c r="L45" s="19"/>
      <c r="M45" s="19"/>
      <c r="N45" s="19"/>
      <c r="O45" s="19"/>
      <c r="P45" s="19"/>
      <c r="Q45" s="19"/>
      <c r="R45" s="19"/>
      <c r="S45" s="19"/>
      <c r="T45" s="19"/>
      <c r="U45" s="19"/>
    </row>
    <row r="46" spans="1:30" ht="184.5" customHeight="1" x14ac:dyDescent="0.45">
      <c r="A46" s="45" t="str">
        <f>Arbejdsark!$A$114</f>
        <v>Fleksibilitet</v>
      </c>
      <c r="B46" s="43" t="str">
        <f>Arbejdsark!$B$144</f>
        <v>2.7</v>
      </c>
      <c r="C46" s="45" t="str">
        <f>IF('Sortering af spørgsmål'!$C$13=Projektforudsætninger!$C$21,Arbejdsark!$C$144,"")</f>
        <v/>
      </c>
      <c r="D46" s="46"/>
      <c r="E46" s="45"/>
      <c r="F46" s="45"/>
      <c r="G46" s="45"/>
      <c r="H46" s="45"/>
      <c r="I46" s="45" t="str">
        <f>IF('Sortering af spørgsmål'!$C$13=Projektforudsætninger!$C$21,Arbejdsark!$K$144,"")</f>
        <v/>
      </c>
      <c r="J46" s="37" t="s">
        <v>9</v>
      </c>
      <c r="K46" s="41"/>
      <c r="L46" s="19"/>
      <c r="M46" s="19"/>
      <c r="N46" s="19"/>
      <c r="O46" s="19"/>
      <c r="P46" s="19"/>
      <c r="Q46" s="19"/>
      <c r="R46" s="19"/>
      <c r="S46" s="19"/>
      <c r="T46" s="19"/>
      <c r="U46" s="19"/>
    </row>
    <row r="47" spans="1:30" ht="184.5" customHeight="1" x14ac:dyDescent="0.45">
      <c r="A47" s="45" t="str">
        <f>Arbejdsark!$A$114</f>
        <v>Fleksibilitet</v>
      </c>
      <c r="B47" s="43" t="str">
        <f>Arbejdsark!$B$149</f>
        <v>2.8</v>
      </c>
      <c r="C47" s="45" t="str">
        <f>IF('Sortering af spørgsmål'!$C$13=Projektforudsætninger!$C$21,Arbejdsark!$C$149,"")</f>
        <v/>
      </c>
      <c r="D47" s="46" t="str">
        <f>Arbejdsark!D45</f>
        <v>ENV2.2
Vægtning: 60% af ENV2.2</v>
      </c>
      <c r="E47" s="45" t="str">
        <f>Arbejdsark!I45</f>
        <v>x</v>
      </c>
      <c r="F47" s="45">
        <f>Arbejdsark!J45</f>
        <v>0</v>
      </c>
      <c r="G47" s="45" t="e">
        <f>Arbejdsark!#REF!</f>
        <v>#REF!</v>
      </c>
      <c r="H47" s="45" t="e">
        <f>Arbejdsark!#REF!</f>
        <v>#REF!</v>
      </c>
      <c r="I47" s="45" t="str">
        <f>IF('Sortering af spørgsmål'!$C$13=Projektforudsætninger!$C$21,Arbejdsark!$K$149,"")</f>
        <v/>
      </c>
      <c r="J47" s="37" t="s">
        <v>9</v>
      </c>
      <c r="K47" s="41"/>
      <c r="L47" s="19"/>
      <c r="M47" s="19"/>
      <c r="N47" s="19"/>
      <c r="O47" s="19"/>
      <c r="P47" s="19"/>
      <c r="Q47" s="19"/>
      <c r="R47" s="19"/>
      <c r="S47" s="19"/>
      <c r="T47" s="19"/>
      <c r="U47" s="19"/>
    </row>
    <row r="48" spans="1:30" x14ac:dyDescent="0.45">
      <c r="A48" s="45"/>
      <c r="B48" s="45"/>
      <c r="C48" s="45"/>
      <c r="D48" s="46"/>
      <c r="E48" s="45"/>
      <c r="F48" s="45"/>
      <c r="G48" s="45"/>
      <c r="H48" s="45"/>
      <c r="I48" s="45"/>
      <c r="J48" s="47"/>
      <c r="K48" s="48"/>
      <c r="L48" s="19"/>
      <c r="M48" s="19"/>
      <c r="N48" s="19"/>
      <c r="O48" s="19"/>
      <c r="P48" s="19"/>
      <c r="Q48" s="19"/>
      <c r="R48" s="19"/>
      <c r="S48" s="19"/>
      <c r="T48" s="19"/>
      <c r="U48" s="19"/>
    </row>
    <row r="49" spans="1:21" ht="28.5" customHeight="1" x14ac:dyDescent="0.45">
      <c r="A49" s="36" t="str">
        <f>Arbejdsark!$A$154</f>
        <v>Robusthed</v>
      </c>
      <c r="B49" s="36">
        <v>3</v>
      </c>
      <c r="C49" s="36"/>
      <c r="D49" s="36"/>
      <c r="E49" s="36"/>
      <c r="F49" s="36"/>
      <c r="G49" s="36"/>
      <c r="H49" s="36"/>
      <c r="I49" s="36" t="str">
        <f>IF('Sortering af spørgsmål'!$C$14=Projektforudsætninger!$C$21,"Udfyld spørgsmål","Ingen spørgsmål")</f>
        <v>Ingen spørgsmål</v>
      </c>
      <c r="J49" s="39"/>
      <c r="K49" s="40"/>
      <c r="L49" s="19"/>
      <c r="M49" s="19"/>
      <c r="N49" s="19"/>
      <c r="O49" s="19"/>
      <c r="P49" s="19"/>
      <c r="Q49" s="19"/>
      <c r="R49" s="19"/>
      <c r="S49" s="19"/>
      <c r="T49" s="19"/>
      <c r="U49" s="19"/>
    </row>
    <row r="50" spans="1:21" ht="85.15" customHeight="1" x14ac:dyDescent="0.45">
      <c r="A50" s="45" t="str">
        <f>Arbejdsark!$A$154</f>
        <v>Robusthed</v>
      </c>
      <c r="B50" s="43" t="str">
        <f>Arbejdsark!$B$154</f>
        <v>3.1</v>
      </c>
      <c r="C50" s="45" t="str">
        <f>IF('Sortering af spørgsmål'!$C$14=Projektforudsætninger!$C$21,Arbejdsark!$C$154,"")</f>
        <v/>
      </c>
      <c r="D50" s="46">
        <f>Arbejdsark!D47</f>
        <v>0</v>
      </c>
      <c r="E50" s="45">
        <f>Arbejdsark!I47</f>
        <v>0</v>
      </c>
      <c r="F50" s="45">
        <f>Arbejdsark!J47</f>
        <v>0</v>
      </c>
      <c r="G50" s="45" t="e">
        <f>Arbejdsark!#REF!</f>
        <v>#REF!</v>
      </c>
      <c r="H50" s="45" t="e">
        <f>Arbejdsark!#REF!</f>
        <v>#REF!</v>
      </c>
      <c r="I50" s="45" t="str">
        <f>IF('Sortering af spørgsmål'!$C$14=Projektforudsætninger!$C$21,Arbejdsark!$K$154,"")</f>
        <v/>
      </c>
      <c r="J50" s="37" t="s">
        <v>9</v>
      </c>
      <c r="K50" s="41"/>
      <c r="L50" s="19"/>
      <c r="M50" s="19"/>
      <c r="N50" s="19"/>
      <c r="O50" s="19"/>
      <c r="P50" s="19"/>
      <c r="Q50" s="19"/>
      <c r="R50" s="19"/>
      <c r="S50" s="19"/>
      <c r="T50" s="19"/>
      <c r="U50" s="19"/>
    </row>
    <row r="51" spans="1:21" ht="85.15" customHeight="1" x14ac:dyDescent="0.45">
      <c r="A51" s="45" t="str">
        <f>Arbejdsark!$A$154</f>
        <v>Robusthed</v>
      </c>
      <c r="B51" s="43" t="str">
        <f>Arbejdsark!$B$159</f>
        <v>3.2</v>
      </c>
      <c r="C51" s="45" t="str">
        <f>IF('Sortering af spørgsmål'!$C$14=Projektforudsætninger!$C$21,Arbejdsark!$C$159,"")</f>
        <v/>
      </c>
      <c r="D51" s="46">
        <f>Arbejdsark!D50</f>
        <v>0</v>
      </c>
      <c r="E51" s="45">
        <f>Arbejdsark!I50</f>
        <v>0</v>
      </c>
      <c r="F51" s="45">
        <f>Arbejdsark!J50</f>
        <v>0</v>
      </c>
      <c r="G51" s="45" t="e">
        <f>Arbejdsark!#REF!</f>
        <v>#REF!</v>
      </c>
      <c r="H51" s="45" t="e">
        <f>Arbejdsark!#REF!</f>
        <v>#REF!</v>
      </c>
      <c r="I51" s="45" t="str">
        <f>IF('Sortering af spørgsmål'!$C$14=Projektforudsætninger!$C$21,Arbejdsark!$K$159,"")</f>
        <v/>
      </c>
      <c r="J51" s="37" t="s">
        <v>9</v>
      </c>
      <c r="K51" s="41"/>
      <c r="L51" s="19"/>
      <c r="M51" s="19"/>
      <c r="N51" s="19"/>
      <c r="O51" s="19"/>
      <c r="P51" s="19"/>
      <c r="Q51" s="19"/>
      <c r="R51" s="19"/>
      <c r="S51" s="19"/>
      <c r="T51" s="19"/>
      <c r="U51" s="19"/>
    </row>
    <row r="52" spans="1:21" x14ac:dyDescent="0.45">
      <c r="A52" s="45"/>
      <c r="B52" s="45"/>
      <c r="C52" s="45"/>
      <c r="D52" s="46"/>
      <c r="E52" s="45"/>
      <c r="F52" s="45"/>
      <c r="G52" s="45"/>
      <c r="H52" s="45"/>
      <c r="I52" s="45"/>
      <c r="J52" s="47"/>
      <c r="K52" s="48"/>
      <c r="L52" s="19"/>
      <c r="M52" s="19"/>
      <c r="N52" s="19"/>
      <c r="O52" s="19"/>
      <c r="P52" s="19"/>
      <c r="Q52" s="19"/>
      <c r="R52" s="19"/>
      <c r="S52" s="19"/>
      <c r="T52" s="19"/>
      <c r="U52" s="19"/>
    </row>
    <row r="53" spans="1:21" s="33" customFormat="1" ht="28.5" customHeight="1" x14ac:dyDescent="0.45">
      <c r="A53" s="56" t="str">
        <f>Arbejdsark!$A$165</f>
        <v>SOCIAL KVALITET</v>
      </c>
      <c r="B53" s="56"/>
      <c r="C53" s="56"/>
      <c r="D53" s="56"/>
      <c r="E53" s="56"/>
      <c r="F53" s="56"/>
      <c r="G53" s="56"/>
      <c r="H53" s="56"/>
      <c r="I53" s="57"/>
      <c r="J53" s="54"/>
      <c r="K53" s="55"/>
      <c r="L53" s="32"/>
      <c r="M53" s="32"/>
      <c r="N53" s="32"/>
      <c r="O53" s="32"/>
      <c r="P53" s="32"/>
      <c r="Q53" s="32"/>
      <c r="R53" s="32"/>
      <c r="S53" s="32"/>
      <c r="T53" s="32"/>
      <c r="U53" s="32"/>
    </row>
    <row r="54" spans="1:21" s="33" customFormat="1" ht="28.5" customHeight="1" x14ac:dyDescent="0.45">
      <c r="A54" s="58" t="str">
        <f>$A$4</f>
        <v>Tema</v>
      </c>
      <c r="B54" s="58" t="s">
        <v>179</v>
      </c>
      <c r="C54" s="58" t="str">
        <f>$C$4</f>
        <v>Emne</v>
      </c>
      <c r="D54" s="58" t="str">
        <f t="shared" ref="D54:O54" si="0">D4</f>
        <v>DGNB kriterium</v>
      </c>
      <c r="E54" s="58" t="str">
        <f t="shared" si="0"/>
        <v>Byggeudvalg eller Hovedbestyrelse</v>
      </c>
      <c r="F54" s="58" t="str">
        <f t="shared" si="0"/>
        <v>Projektleder</v>
      </c>
      <c r="G54" s="58" t="str">
        <f t="shared" si="0"/>
        <v>#REFERENCE!</v>
      </c>
      <c r="H54" s="58" t="str">
        <f t="shared" si="0"/>
        <v>Ikon</v>
      </c>
      <c r="I54" s="58" t="str">
        <f>$I$4</f>
        <v>Spørgsmål</v>
      </c>
      <c r="J54" s="59" t="str">
        <f>$J$4</f>
        <v>Svar</v>
      </c>
      <c r="K54" s="60" t="str">
        <f>$K$4</f>
        <v>Uddybende kommentarer</v>
      </c>
      <c r="L54" s="27">
        <f t="shared" si="0"/>
        <v>0</v>
      </c>
      <c r="M54" s="27">
        <f t="shared" si="0"/>
        <v>0</v>
      </c>
      <c r="N54" s="27">
        <f t="shared" si="0"/>
        <v>0</v>
      </c>
      <c r="O54" s="27">
        <f t="shared" si="0"/>
        <v>0</v>
      </c>
      <c r="P54" s="32"/>
      <c r="Q54" s="32"/>
      <c r="R54" s="32"/>
      <c r="S54" s="32"/>
      <c r="T54" s="32"/>
      <c r="U54" s="32"/>
    </row>
    <row r="55" spans="1:21" s="33" customFormat="1" ht="28.5" customHeight="1" x14ac:dyDescent="0.45">
      <c r="A55" s="57" t="str">
        <f>Arbejdsark!$A$167</f>
        <v>Indeklima</v>
      </c>
      <c r="B55" s="56">
        <v>1</v>
      </c>
      <c r="C55" s="57"/>
      <c r="D55" s="57"/>
      <c r="E55" s="57"/>
      <c r="F55" s="57"/>
      <c r="G55" s="57"/>
      <c r="H55" s="57"/>
      <c r="I55" s="57" t="str">
        <f>IF('Sortering af spørgsmål'!$C$15=Projektforudsætninger!$C$21,"Udfyld spørgsmål","Ingen spørgsmål")</f>
        <v>Ingen spørgsmål</v>
      </c>
      <c r="J55" s="54"/>
      <c r="K55" s="55"/>
      <c r="L55" s="140"/>
      <c r="M55" s="140"/>
      <c r="N55" s="140"/>
      <c r="O55" s="140"/>
      <c r="P55" s="32"/>
      <c r="Q55" s="32"/>
      <c r="R55" s="32"/>
      <c r="S55" s="32"/>
      <c r="T55" s="32"/>
      <c r="U55" s="32"/>
    </row>
    <row r="56" spans="1:21" ht="198.4" customHeight="1" x14ac:dyDescent="0.45">
      <c r="A56" s="58" t="str">
        <f>Arbejdsark!$A$167</f>
        <v>Indeklima</v>
      </c>
      <c r="B56" s="43" t="str">
        <f>Arbejdsark!$B$167</f>
        <v>1.1</v>
      </c>
      <c r="C56" s="45" t="str">
        <f>IF('Sortering af spørgsmål'!$C$15=Projektforudsætninger!$C$21,Arbejdsark!$C$167,"")</f>
        <v/>
      </c>
      <c r="D56" s="46">
        <f>Arbejdsark!D57</f>
        <v>0</v>
      </c>
      <c r="E56" s="45">
        <f>Arbejdsark!I57</f>
        <v>0</v>
      </c>
      <c r="F56" s="45">
        <f>Arbejdsark!J57</f>
        <v>0</v>
      </c>
      <c r="G56" s="45" t="e">
        <f>Arbejdsark!#REF!</f>
        <v>#REF!</v>
      </c>
      <c r="H56" s="45" t="e">
        <f>Arbejdsark!#REF!</f>
        <v>#REF!</v>
      </c>
      <c r="I56" s="45" t="str">
        <f>IF('Sortering af spørgsmål'!$C$15=Projektforudsætninger!$C$21,Arbejdsark!$K$167,"")</f>
        <v/>
      </c>
      <c r="J56" s="37" t="s">
        <v>9</v>
      </c>
      <c r="K56" s="41"/>
      <c r="L56" s="19"/>
      <c r="M56" s="19"/>
      <c r="N56" s="19"/>
      <c r="O56" s="19"/>
      <c r="P56" s="19"/>
      <c r="Q56" s="19"/>
      <c r="R56" s="19"/>
      <c r="S56" s="19"/>
      <c r="T56" s="19"/>
      <c r="U56" s="19"/>
    </row>
    <row r="57" spans="1:21" ht="141.75" customHeight="1" x14ac:dyDescent="0.45">
      <c r="A57" s="58" t="str">
        <f>Arbejdsark!$A$167</f>
        <v>Indeklima</v>
      </c>
      <c r="B57" s="43" t="str">
        <f>Arbejdsark!$B$172</f>
        <v>1.2</v>
      </c>
      <c r="C57" s="45" t="str">
        <f>IF('Sortering af spørgsmål'!$C$15=Projektforudsætninger!$C$21,Arbejdsark!$C$172,"")</f>
        <v/>
      </c>
      <c r="D57" s="46" t="str">
        <f>Arbejdsark!D58</f>
        <v>Vægtning: SOC1.6 pkt. 2.4</v>
      </c>
      <c r="E57" s="45" t="str">
        <f>Arbejdsark!I58</f>
        <v>x</v>
      </c>
      <c r="F57" s="45">
        <f>Arbejdsark!J58</f>
        <v>0</v>
      </c>
      <c r="G57" s="45" t="e">
        <f>Arbejdsark!#REF!</f>
        <v>#REF!</v>
      </c>
      <c r="H57" s="45" t="e">
        <f>Arbejdsark!#REF!</f>
        <v>#REF!</v>
      </c>
      <c r="I57" s="45" t="str">
        <f>IF('Sortering af spørgsmål'!$C$15=Projektforudsætninger!$C$21,Arbejdsark!$K$172,"")</f>
        <v/>
      </c>
      <c r="J57" s="37" t="s">
        <v>9</v>
      </c>
      <c r="K57" s="41"/>
      <c r="L57" s="19"/>
      <c r="M57" s="19"/>
      <c r="N57" s="19"/>
      <c r="O57" s="19"/>
      <c r="P57" s="19"/>
      <c r="Q57" s="19"/>
      <c r="R57" s="19"/>
      <c r="S57" s="19"/>
      <c r="T57" s="19"/>
      <c r="U57" s="19"/>
    </row>
    <row r="58" spans="1:21" ht="141.75" customHeight="1" x14ac:dyDescent="0.45">
      <c r="A58" s="58" t="str">
        <f>Arbejdsark!$A$167</f>
        <v>Indeklima</v>
      </c>
      <c r="B58" s="43" t="str">
        <f>Arbejdsark!$B$177</f>
        <v>1.3</v>
      </c>
      <c r="C58" s="45" t="str">
        <f>IF('Sortering af spørgsmål'!$C$15=Projektforudsætninger!$C$21,Arbejdsark!$C$177,"")</f>
        <v/>
      </c>
      <c r="D58" s="46">
        <f>Arbejdsark!D59</f>
        <v>0</v>
      </c>
      <c r="E58" s="45">
        <f>Arbejdsark!I59</f>
        <v>0</v>
      </c>
      <c r="F58" s="45">
        <f>Arbejdsark!J59</f>
        <v>0</v>
      </c>
      <c r="G58" s="45" t="e">
        <f>Arbejdsark!#REF!</f>
        <v>#REF!</v>
      </c>
      <c r="H58" s="45" t="e">
        <f>Arbejdsark!#REF!</f>
        <v>#REF!</v>
      </c>
      <c r="I58" s="45" t="str">
        <f>IF('Sortering af spørgsmål'!$C$15=Projektforudsætninger!$C$21,Arbejdsark!$K$177,"")</f>
        <v/>
      </c>
      <c r="J58" s="37" t="s">
        <v>9</v>
      </c>
      <c r="K58" s="41"/>
      <c r="L58" s="19"/>
      <c r="M58" s="19"/>
      <c r="N58" s="19"/>
      <c r="O58" s="19"/>
      <c r="P58" s="19"/>
      <c r="Q58" s="19"/>
      <c r="R58" s="19"/>
      <c r="S58" s="19"/>
      <c r="T58" s="19"/>
      <c r="U58" s="19"/>
    </row>
    <row r="59" spans="1:21" ht="141.75" customHeight="1" x14ac:dyDescent="0.45">
      <c r="A59" s="58" t="str">
        <f>Arbejdsark!$A$167</f>
        <v>Indeklima</v>
      </c>
      <c r="B59" s="43" t="str">
        <f>Arbejdsark!$B$182</f>
        <v>1.4</v>
      </c>
      <c r="C59" s="45" t="str">
        <f>IF('Sortering af spørgsmål'!$C$15=Projektforudsætninger!$C$21,Arbejdsark!$C$182,"")</f>
        <v/>
      </c>
      <c r="D59" s="46" t="str">
        <f>Arbejdsark!D58</f>
        <v>Vægtning: SOC1.6 pkt. 2.4</v>
      </c>
      <c r="E59" s="45" t="str">
        <f>Arbejdsark!I58</f>
        <v>x</v>
      </c>
      <c r="F59" s="45">
        <f>Arbejdsark!J58</f>
        <v>0</v>
      </c>
      <c r="G59" s="45" t="e">
        <f>Arbejdsark!#REF!</f>
        <v>#REF!</v>
      </c>
      <c r="H59" s="45" t="e">
        <f>Arbejdsark!#REF!</f>
        <v>#REF!</v>
      </c>
      <c r="I59" s="45" t="str">
        <f>IF('Sortering af spørgsmål'!$C$15=Projektforudsætninger!$C$21,Arbejdsark!$K$182,"")</f>
        <v/>
      </c>
      <c r="J59" s="37" t="s">
        <v>9</v>
      </c>
      <c r="K59" s="41"/>
      <c r="L59" s="19"/>
      <c r="M59" s="19"/>
      <c r="N59" s="19"/>
      <c r="O59" s="19"/>
      <c r="P59" s="19"/>
      <c r="Q59" s="19"/>
      <c r="R59" s="19"/>
      <c r="S59" s="19"/>
      <c r="T59" s="19"/>
      <c r="U59" s="19"/>
    </row>
    <row r="60" spans="1:21" ht="170.25" customHeight="1" x14ac:dyDescent="0.45">
      <c r="A60" s="58" t="str">
        <f>Arbejdsark!$A$167</f>
        <v>Indeklima</v>
      </c>
      <c r="B60" s="43" t="str">
        <f>Arbejdsark!$B$187</f>
        <v>1.5</v>
      </c>
      <c r="C60" s="45" t="str">
        <f>IF('Sortering af spørgsmål'!$C$15=Projektforudsætninger!$C$21,Arbejdsark!$C$187,"")</f>
        <v/>
      </c>
      <c r="D60" s="46">
        <f>Arbejdsark!D59</f>
        <v>0</v>
      </c>
      <c r="E60" s="45">
        <f>Arbejdsark!I59</f>
        <v>0</v>
      </c>
      <c r="F60" s="45">
        <f>Arbejdsark!J59</f>
        <v>0</v>
      </c>
      <c r="G60" s="45" t="e">
        <f>Arbejdsark!#REF!</f>
        <v>#REF!</v>
      </c>
      <c r="H60" s="45" t="e">
        <f>Arbejdsark!#REF!</f>
        <v>#REF!</v>
      </c>
      <c r="I60" s="45" t="str">
        <f>IF('Sortering af spørgsmål'!$C$15=Projektforudsætninger!$C$21,Arbejdsark!$K$187,"")</f>
        <v/>
      </c>
      <c r="J60" s="37" t="s">
        <v>9</v>
      </c>
      <c r="K60" s="41"/>
      <c r="L60" s="19"/>
      <c r="M60" s="19"/>
      <c r="N60" s="19"/>
      <c r="O60" s="19"/>
      <c r="P60" s="19"/>
      <c r="Q60" s="19"/>
      <c r="R60" s="19"/>
      <c r="S60" s="19"/>
      <c r="T60" s="19"/>
      <c r="U60" s="19"/>
    </row>
    <row r="61" spans="1:21" ht="85.15" customHeight="1" x14ac:dyDescent="0.45">
      <c r="A61" s="58" t="str">
        <f>Arbejdsark!$A$167</f>
        <v>Indeklima</v>
      </c>
      <c r="B61" s="43" t="str">
        <f>Arbejdsark!$B$192</f>
        <v>1.6</v>
      </c>
      <c r="C61" s="45" t="str">
        <f>IF('Sortering af spørgsmål'!$C$15=Projektforudsætninger!$C$21,Arbejdsark!$C$192,"")</f>
        <v/>
      </c>
      <c r="D61" s="46"/>
      <c r="E61" s="45"/>
      <c r="F61" s="45"/>
      <c r="G61" s="45"/>
      <c r="H61" s="45"/>
      <c r="I61" s="45" t="str">
        <f>IF('Sortering af spørgsmål'!$C$15=Projektforudsætninger!$C$21,Arbejdsark!$K$192,"")</f>
        <v/>
      </c>
      <c r="J61" s="37" t="s">
        <v>9</v>
      </c>
      <c r="K61" s="41"/>
      <c r="L61" s="19"/>
      <c r="M61" s="19"/>
      <c r="N61" s="19"/>
      <c r="O61" s="19"/>
      <c r="P61" s="19"/>
      <c r="Q61" s="19"/>
      <c r="R61" s="19"/>
      <c r="S61" s="19"/>
      <c r="T61" s="19"/>
      <c r="U61" s="19"/>
    </row>
    <row r="62" spans="1:21" ht="141.75" customHeight="1" x14ac:dyDescent="0.45">
      <c r="A62" s="58" t="str">
        <f>Arbejdsark!$A$167</f>
        <v>Indeklima</v>
      </c>
      <c r="B62" s="43" t="str">
        <f>Arbejdsark!$B$197</f>
        <v>1.7</v>
      </c>
      <c r="C62" s="45" t="str">
        <f>IF('Sortering af spørgsmål'!$C$15=Projektforudsætninger!$C$21,Arbejdsark!$C$197,"")</f>
        <v/>
      </c>
      <c r="D62" s="46">
        <f>Arbejdsark!D60</f>
        <v>0</v>
      </c>
      <c r="E62" s="45">
        <f>Arbejdsark!I60</f>
        <v>0</v>
      </c>
      <c r="F62" s="45">
        <f>Arbejdsark!J60</f>
        <v>0</v>
      </c>
      <c r="G62" s="45" t="e">
        <f>Arbejdsark!#REF!</f>
        <v>#REF!</v>
      </c>
      <c r="H62" s="45" t="e">
        <f>Arbejdsark!#REF!</f>
        <v>#REF!</v>
      </c>
      <c r="I62" s="45" t="str">
        <f>IF('Sortering af spørgsmål'!$C$15=Projektforudsætninger!$C$21,Arbejdsark!$K$197,"")</f>
        <v/>
      </c>
      <c r="J62" s="37" t="s">
        <v>9</v>
      </c>
      <c r="K62" s="41"/>
      <c r="L62" s="19"/>
      <c r="M62" s="19"/>
      <c r="N62" s="19"/>
      <c r="O62" s="19"/>
      <c r="P62" s="19"/>
      <c r="Q62" s="19"/>
      <c r="R62" s="19"/>
      <c r="S62" s="19"/>
      <c r="T62" s="19"/>
      <c r="U62" s="19"/>
    </row>
    <row r="63" spans="1:21" ht="141.75" customHeight="1" x14ac:dyDescent="0.45">
      <c r="A63" s="58" t="str">
        <f>Arbejdsark!$A$167</f>
        <v>Indeklima</v>
      </c>
      <c r="B63" s="43" t="str">
        <f>Arbejdsark!$B$202</f>
        <v>1.8</v>
      </c>
      <c r="C63" s="45" t="str">
        <f>IF('Sortering af spørgsmål'!$C$15=Projektforudsætninger!$C$21,Arbejdsark!$C$202,"")</f>
        <v/>
      </c>
      <c r="D63" s="46">
        <f>Arbejdsark!D61</f>
        <v>0</v>
      </c>
      <c r="E63" s="45">
        <f>Arbejdsark!I61</f>
        <v>0</v>
      </c>
      <c r="F63" s="45">
        <f>Arbejdsark!J61</f>
        <v>0</v>
      </c>
      <c r="G63" s="45" t="e">
        <f>Arbejdsark!#REF!</f>
        <v>#REF!</v>
      </c>
      <c r="H63" s="45" t="e">
        <f>Arbejdsark!#REF!</f>
        <v>#REF!</v>
      </c>
      <c r="I63" s="45" t="str">
        <f>IF('Sortering af spørgsmål'!$C$15=Projektforudsætninger!$C$21,Arbejdsark!$K$202,"")</f>
        <v/>
      </c>
      <c r="J63" s="37" t="s">
        <v>9</v>
      </c>
      <c r="K63" s="41"/>
      <c r="L63" s="19"/>
      <c r="M63" s="19"/>
      <c r="N63" s="19"/>
      <c r="O63" s="19"/>
      <c r="P63" s="19"/>
      <c r="Q63" s="19"/>
      <c r="R63" s="19"/>
      <c r="S63" s="19"/>
      <c r="T63" s="19"/>
      <c r="U63" s="19"/>
    </row>
    <row r="64" spans="1:21" ht="113.65" customHeight="1" x14ac:dyDescent="0.45">
      <c r="A64" s="58" t="str">
        <f>Arbejdsark!$A$167</f>
        <v>Indeklima</v>
      </c>
      <c r="B64" s="43" t="str">
        <f>Arbejdsark!$B$207</f>
        <v>1.9</v>
      </c>
      <c r="C64" s="45" t="str">
        <f>IF('Sortering af spørgsmål'!$C$15=Projektforudsætninger!$C$21,Arbejdsark!$C$207,"")</f>
        <v/>
      </c>
      <c r="D64" s="46">
        <f>Arbejdsark!D62</f>
        <v>0</v>
      </c>
      <c r="E64" s="45">
        <f>Arbejdsark!I62</f>
        <v>0</v>
      </c>
      <c r="F64" s="45">
        <f>Arbejdsark!J62</f>
        <v>0</v>
      </c>
      <c r="G64" s="45" t="e">
        <f>Arbejdsark!#REF!</f>
        <v>#REF!</v>
      </c>
      <c r="H64" s="45" t="e">
        <f>Arbejdsark!#REF!</f>
        <v>#REF!</v>
      </c>
      <c r="I64" s="45" t="str">
        <f>IF('Sortering af spørgsmål'!$C$15=Projektforudsætninger!$C$21,Arbejdsark!$K$207,"")</f>
        <v/>
      </c>
      <c r="J64" s="37" t="s">
        <v>9</v>
      </c>
      <c r="K64" s="41"/>
      <c r="L64" s="19"/>
      <c r="M64" s="19"/>
      <c r="N64" s="19"/>
      <c r="O64" s="19"/>
      <c r="P64" s="19"/>
      <c r="Q64" s="19"/>
      <c r="R64" s="19"/>
      <c r="S64" s="19"/>
      <c r="T64" s="19"/>
      <c r="U64" s="19"/>
    </row>
    <row r="65" spans="1:21" ht="141.75" customHeight="1" x14ac:dyDescent="0.45">
      <c r="A65" s="58" t="str">
        <f>Arbejdsark!$A$167</f>
        <v>Indeklima</v>
      </c>
      <c r="B65" s="43" t="str">
        <f>Arbejdsark!$B$212</f>
        <v>1.10</v>
      </c>
      <c r="C65" s="45" t="str">
        <f>IF('Sortering af spørgsmål'!$C$15=Projektforudsætninger!$C$21,Arbejdsark!$C$212,"")</f>
        <v/>
      </c>
      <c r="D65" s="46" t="str">
        <f>Arbejdsark!D63</f>
        <v>SOC1.6
Vægtning: 20% af SOC1.6 pkt 2.8</v>
      </c>
      <c r="E65" s="45" t="str">
        <f>Arbejdsark!I63</f>
        <v>x</v>
      </c>
      <c r="F65" s="45">
        <f>Arbejdsark!J63</f>
        <v>0</v>
      </c>
      <c r="G65" s="45" t="e">
        <f>Arbejdsark!#REF!</f>
        <v>#REF!</v>
      </c>
      <c r="H65" s="45" t="e">
        <f>Arbejdsark!#REF!</f>
        <v>#REF!</v>
      </c>
      <c r="I65" s="45" t="str">
        <f>IF('Sortering af spørgsmål'!$C$15=Projektforudsætninger!$C$21,Arbejdsark!$K$212,"")</f>
        <v/>
      </c>
      <c r="J65" s="41" t="s">
        <v>9</v>
      </c>
      <c r="K65" s="41"/>
      <c r="L65" s="19"/>
      <c r="M65" s="19"/>
      <c r="N65" s="19"/>
      <c r="O65" s="19"/>
      <c r="P65" s="19"/>
      <c r="Q65" s="19"/>
      <c r="R65" s="19"/>
      <c r="S65" s="19"/>
      <c r="T65" s="19"/>
      <c r="U65" s="19"/>
    </row>
    <row r="66" spans="1:21" x14ac:dyDescent="0.45">
      <c r="A66" s="45"/>
      <c r="B66" s="45"/>
      <c r="C66" s="45"/>
      <c r="D66" s="46"/>
      <c r="E66" s="45"/>
      <c r="F66" s="45"/>
      <c r="G66" s="45"/>
      <c r="H66" s="45"/>
      <c r="I66" s="45"/>
      <c r="J66" s="47"/>
      <c r="K66" s="48"/>
      <c r="L66" s="19"/>
      <c r="M66" s="19"/>
      <c r="N66" s="19"/>
      <c r="O66" s="19"/>
      <c r="P66" s="19"/>
      <c r="Q66" s="19"/>
      <c r="R66" s="19"/>
      <c r="S66" s="19"/>
      <c r="T66" s="19"/>
      <c r="U66" s="19"/>
    </row>
    <row r="67" spans="1:21" ht="28.5" customHeight="1" x14ac:dyDescent="0.45">
      <c r="A67" s="57" t="str">
        <f>Arbejdsark!$A$217</f>
        <v>Brugerstyring</v>
      </c>
      <c r="B67" s="57">
        <v>2</v>
      </c>
      <c r="C67" s="57"/>
      <c r="D67" s="57"/>
      <c r="E67" s="57"/>
      <c r="F67" s="57"/>
      <c r="G67" s="57"/>
      <c r="H67" s="57"/>
      <c r="I67" s="57" t="str">
        <f>IF('Sortering af spørgsmål'!$C$16=Projektforudsætninger!$C$21,"Udfyld spørgsmål","Ingen spørgsmål")</f>
        <v>Ingen spørgsmål</v>
      </c>
      <c r="J67" s="54"/>
      <c r="K67" s="55"/>
      <c r="L67" s="19"/>
      <c r="M67" s="19"/>
      <c r="N67" s="19"/>
      <c r="O67" s="19"/>
      <c r="P67" s="19"/>
      <c r="Q67" s="19"/>
      <c r="R67" s="19"/>
      <c r="S67" s="19"/>
      <c r="T67" s="19"/>
      <c r="U67" s="19"/>
    </row>
    <row r="68" spans="1:21" ht="113.65" customHeight="1" x14ac:dyDescent="0.45">
      <c r="A68" s="45" t="str">
        <f>Arbejdsark!$A$217</f>
        <v>Brugerstyring</v>
      </c>
      <c r="B68" s="43" t="str">
        <f>Arbejdsark!$B$217</f>
        <v>2.1</v>
      </c>
      <c r="C68" s="45" t="str">
        <f>IF('Sortering af spørgsmål'!$C$16=Projektforudsætninger!$C$21,Arbejdsark!$C$217,"")</f>
        <v/>
      </c>
      <c r="D68" s="46">
        <f>Arbejdsark!D62</f>
        <v>0</v>
      </c>
      <c r="E68" s="45">
        <f>Arbejdsark!I62</f>
        <v>0</v>
      </c>
      <c r="F68" s="45">
        <f>Arbejdsark!J62</f>
        <v>0</v>
      </c>
      <c r="G68" s="45" t="e">
        <f>Arbejdsark!#REF!</f>
        <v>#REF!</v>
      </c>
      <c r="H68" s="45" t="e">
        <f>Arbejdsark!#REF!</f>
        <v>#REF!</v>
      </c>
      <c r="I68" s="45" t="str">
        <f>IF('Sortering af spørgsmål'!$C$16=Projektforudsætninger!$C$21,Arbejdsark!$K$217,"")</f>
        <v/>
      </c>
      <c r="J68" s="37" t="s">
        <v>9</v>
      </c>
      <c r="K68" s="41"/>
      <c r="L68" s="19"/>
      <c r="M68" s="19"/>
      <c r="N68" s="19"/>
      <c r="O68" s="19"/>
      <c r="P68" s="19"/>
      <c r="Q68" s="19"/>
      <c r="R68" s="19"/>
      <c r="S68" s="19"/>
      <c r="T68" s="19"/>
      <c r="U68" s="19"/>
    </row>
    <row r="69" spans="1:21" ht="113.65" customHeight="1" x14ac:dyDescent="0.45">
      <c r="A69" s="45" t="str">
        <f>Arbejdsark!$A$217</f>
        <v>Brugerstyring</v>
      </c>
      <c r="B69" s="43" t="str">
        <f>Arbejdsark!$B$222</f>
        <v>2.2</v>
      </c>
      <c r="C69" s="45" t="str">
        <f>IF('Sortering af spørgsmål'!$C$16=Projektforudsætninger!$C$21,Arbejdsark!$C$222,"")</f>
        <v/>
      </c>
      <c r="D69" s="46" t="str">
        <f>Arbejdsark!D63</f>
        <v>SOC1.6
Vægtning: 20% af SOC1.6 pkt 2.8</v>
      </c>
      <c r="E69" s="45" t="str">
        <f>Arbejdsark!I63</f>
        <v>x</v>
      </c>
      <c r="F69" s="45">
        <f>Arbejdsark!J63</f>
        <v>0</v>
      </c>
      <c r="G69" s="45" t="e">
        <f>Arbejdsark!#REF!</f>
        <v>#REF!</v>
      </c>
      <c r="H69" s="45" t="e">
        <f>Arbejdsark!#REF!</f>
        <v>#REF!</v>
      </c>
      <c r="I69" s="45" t="str">
        <f>IF('Sortering af spørgsmål'!$C$16=Projektforudsætninger!$C$21,Arbejdsark!$K$222,"")</f>
        <v/>
      </c>
      <c r="J69" s="37" t="s">
        <v>9</v>
      </c>
      <c r="K69" s="41"/>
      <c r="L69" s="19"/>
      <c r="M69" s="19"/>
      <c r="N69" s="19"/>
      <c r="O69" s="19"/>
      <c r="P69" s="19"/>
      <c r="Q69" s="19"/>
      <c r="R69" s="19"/>
      <c r="S69" s="19"/>
      <c r="T69" s="19"/>
      <c r="U69" s="19"/>
    </row>
    <row r="70" spans="1:21" ht="113.65" customHeight="1" x14ac:dyDescent="0.45">
      <c r="A70" s="45" t="str">
        <f>Arbejdsark!$A$217</f>
        <v>Brugerstyring</v>
      </c>
      <c r="B70" s="43" t="str">
        <f>Arbejdsark!$B$227</f>
        <v>2.3</v>
      </c>
      <c r="C70" s="45" t="str">
        <f>IF('Sortering af spørgsmål'!$C$16=Projektforudsætninger!$C$21,Arbejdsark!$C$227,"")</f>
        <v/>
      </c>
      <c r="D70" s="46">
        <f>Arbejdsark!D64</f>
        <v>0</v>
      </c>
      <c r="E70" s="45">
        <f>Arbejdsark!I64</f>
        <v>0</v>
      </c>
      <c r="F70" s="45">
        <f>Arbejdsark!J64</f>
        <v>0</v>
      </c>
      <c r="G70" s="45" t="e">
        <f>Arbejdsark!#REF!</f>
        <v>#REF!</v>
      </c>
      <c r="H70" s="45" t="e">
        <f>Arbejdsark!#REF!</f>
        <v>#REF!</v>
      </c>
      <c r="I70" s="45" t="str">
        <f>IF('Sortering af spørgsmål'!$C$16=Projektforudsætninger!$C$21,Arbejdsark!$K$227,"")</f>
        <v/>
      </c>
      <c r="J70" s="41" t="s">
        <v>9</v>
      </c>
      <c r="K70" s="41"/>
      <c r="L70" s="19"/>
      <c r="M70" s="19"/>
      <c r="N70" s="19"/>
      <c r="O70" s="19"/>
      <c r="P70" s="19"/>
      <c r="Q70" s="19"/>
      <c r="R70" s="19"/>
      <c r="S70" s="19"/>
      <c r="T70" s="19"/>
      <c r="U70" s="19"/>
    </row>
    <row r="71" spans="1:21" x14ac:dyDescent="0.45">
      <c r="A71" s="45"/>
      <c r="B71" s="45"/>
      <c r="C71" s="45"/>
      <c r="D71" s="46"/>
      <c r="E71" s="45"/>
      <c r="F71" s="45"/>
      <c r="G71" s="45"/>
      <c r="H71" s="45"/>
      <c r="I71" s="45"/>
      <c r="J71" s="47"/>
      <c r="K71" s="48"/>
      <c r="L71" s="19"/>
      <c r="M71" s="19"/>
      <c r="N71" s="19"/>
      <c r="O71" s="19"/>
      <c r="P71" s="19"/>
      <c r="Q71" s="19"/>
      <c r="R71" s="19"/>
      <c r="S71" s="19"/>
      <c r="T71" s="19"/>
      <c r="U71" s="19"/>
    </row>
    <row r="72" spans="1:21" ht="28.5" customHeight="1" x14ac:dyDescent="0.45">
      <c r="A72" s="57" t="str">
        <f>Arbejdsark!$A$234</f>
        <v>Tilgængelighed</v>
      </c>
      <c r="B72" s="57">
        <v>3</v>
      </c>
      <c r="C72" s="57"/>
      <c r="D72" s="57"/>
      <c r="E72" s="57"/>
      <c r="F72" s="57"/>
      <c r="G72" s="57"/>
      <c r="H72" s="57"/>
      <c r="I72" s="57" t="str">
        <f>IF('Sortering af spørgsmål'!$C$17=Projektforudsætninger!$C$21,"Udfyld spørgsmål","Ingen spørgsmål")</f>
        <v>Ingen spørgsmål</v>
      </c>
      <c r="J72" s="54"/>
      <c r="K72" s="55"/>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spørgsmål'!$C$17=Projektforudsætninger!$C$21,Arbejdsark!$C$234,"")</f>
        <v/>
      </c>
      <c r="D73" s="46">
        <f>Arbejdsark!D67</f>
        <v>0</v>
      </c>
      <c r="E73" s="45">
        <f>Arbejdsark!I67</f>
        <v>0</v>
      </c>
      <c r="F73" s="45">
        <f>Arbejdsark!J67</f>
        <v>0</v>
      </c>
      <c r="G73" s="45" t="e">
        <f>Arbejdsark!#REF!</f>
        <v>#REF!</v>
      </c>
      <c r="H73" s="45" t="e">
        <f>Arbejdsark!#REF!</f>
        <v>#REF!</v>
      </c>
      <c r="I73" s="45" t="str">
        <f>IF('Sortering af spørgsmål'!$C$17=Projektforudsætninger!$C$21,Arbejdsark!$K$234,"")</f>
        <v/>
      </c>
      <c r="J73" s="37" t="s">
        <v>9</v>
      </c>
      <c r="K73" s="41"/>
      <c r="L73" s="19"/>
      <c r="M73" s="19"/>
      <c r="N73" s="19"/>
      <c r="O73" s="19"/>
      <c r="P73" s="19"/>
      <c r="Q73" s="19"/>
      <c r="R73" s="19"/>
      <c r="S73" s="19"/>
      <c r="T73" s="19"/>
      <c r="U73" s="19"/>
    </row>
    <row r="74" spans="1:21" ht="156" customHeight="1" x14ac:dyDescent="0.45">
      <c r="A74" s="45" t="str">
        <f>Arbejdsark!$A$234</f>
        <v>Tilgængelighed</v>
      </c>
      <c r="B74" s="43" t="e">
        <f>Arbejdsark!#REF!</f>
        <v>#REF!</v>
      </c>
      <c r="C74" s="45" t="str">
        <f>IF('Sortering af spørgsmål'!$C$17=Projektforudsætninger!$C$21,Arbejdsark!#REF!,"")</f>
        <v/>
      </c>
      <c r="D74" s="46">
        <f>Arbejdsark!D74</f>
        <v>0</v>
      </c>
      <c r="E74" s="45">
        <f>Arbejdsark!I74</f>
        <v>0</v>
      </c>
      <c r="F74" s="45">
        <f>Arbejdsark!J74</f>
        <v>0</v>
      </c>
      <c r="G74" s="45" t="e">
        <f>Arbejdsark!#REF!</f>
        <v>#REF!</v>
      </c>
      <c r="H74" s="45" t="e">
        <f>Arbejdsark!#REF!</f>
        <v>#REF!</v>
      </c>
      <c r="I74" s="45" t="str">
        <f>IF('Sortering af spørgsmål'!$C$17=Projektforudsætninger!$C$21,Arbejdsark!#REF!,"")</f>
        <v/>
      </c>
      <c r="J74" s="37" t="s">
        <v>9</v>
      </c>
      <c r="K74" s="41"/>
      <c r="L74" s="19"/>
      <c r="M74" s="19"/>
      <c r="N74" s="19"/>
      <c r="O74" s="19"/>
      <c r="P74" s="19"/>
      <c r="Q74" s="19"/>
      <c r="R74" s="19"/>
      <c r="S74" s="19"/>
      <c r="T74" s="19"/>
      <c r="U74" s="19"/>
    </row>
    <row r="75" spans="1:21" x14ac:dyDescent="0.45">
      <c r="A75" s="45"/>
      <c r="B75" s="45"/>
      <c r="C75" s="45"/>
      <c r="D75" s="46"/>
      <c r="E75" s="45"/>
      <c r="F75" s="45"/>
      <c r="G75" s="45"/>
      <c r="H75" s="45"/>
      <c r="I75" s="45"/>
      <c r="J75" s="47"/>
      <c r="K75" s="48"/>
      <c r="L75" s="19"/>
      <c r="M75" s="19"/>
      <c r="N75" s="19"/>
      <c r="O75" s="19"/>
      <c r="P75" s="19"/>
      <c r="Q75" s="19"/>
      <c r="R75" s="19"/>
      <c r="S75" s="19"/>
      <c r="T75" s="19"/>
      <c r="U75" s="19"/>
    </row>
    <row r="76" spans="1:21" ht="28.5" customHeight="1" x14ac:dyDescent="0.45">
      <c r="A76" s="57" t="str">
        <f>Arbejdsark!$A$239</f>
        <v>Udearealer</v>
      </c>
      <c r="B76" s="57">
        <v>4</v>
      </c>
      <c r="C76" s="57"/>
      <c r="D76" s="57"/>
      <c r="E76" s="57"/>
      <c r="F76" s="57"/>
      <c r="G76" s="57"/>
      <c r="H76" s="57"/>
      <c r="I76" s="57" t="str">
        <f>IF('Sortering af spørgsmål'!$C$18=Projektforudsætninger!$C$21,"Udfyld spørgsmål","Ingen spørgsmål")</f>
        <v>Ingen spørgsmål</v>
      </c>
      <c r="J76" s="54"/>
      <c r="K76" s="55"/>
      <c r="L76" s="19"/>
      <c r="M76" s="19"/>
      <c r="N76" s="19"/>
      <c r="O76" s="19"/>
      <c r="P76" s="19"/>
      <c r="Q76" s="19"/>
      <c r="R76" s="19"/>
      <c r="S76" s="19"/>
      <c r="T76" s="19"/>
      <c r="U76" s="19"/>
    </row>
    <row r="77" spans="1:21" ht="113.65" customHeight="1" x14ac:dyDescent="0.45">
      <c r="A77" s="45" t="str">
        <f>Arbejdsark!$A$239</f>
        <v>Udearealer</v>
      </c>
      <c r="B77" s="43" t="str">
        <f>Arbejdsark!$B$239</f>
        <v>4.1</v>
      </c>
      <c r="C77" s="45" t="str">
        <f>IF('Sortering af spørgsmål'!$C$18=Projektforudsætninger!$C$21,Arbejdsark!$C$239,"")</f>
        <v/>
      </c>
      <c r="D77" s="46">
        <f>Arbejdsark!D77</f>
        <v>0</v>
      </c>
      <c r="E77" s="45">
        <f>Arbejdsark!I77</f>
        <v>0</v>
      </c>
      <c r="F77" s="45">
        <f>Arbejdsark!J77</f>
        <v>0</v>
      </c>
      <c r="G77" s="45" t="e">
        <f>Arbejdsark!#REF!</f>
        <v>#REF!</v>
      </c>
      <c r="H77" s="45" t="e">
        <f>Arbejdsark!#REF!</f>
        <v>#REF!</v>
      </c>
      <c r="I77" s="45" t="str">
        <f>IF('Sortering af spørgsmål'!$C$18=Projektforudsætninger!$C$21,Arbejdsark!$K$239,"")</f>
        <v/>
      </c>
      <c r="J77" s="37" t="s">
        <v>9</v>
      </c>
      <c r="K77" s="41"/>
      <c r="L77" s="19"/>
      <c r="M77" s="19"/>
      <c r="N77" s="19"/>
      <c r="O77" s="19"/>
      <c r="P77" s="19"/>
      <c r="Q77" s="19"/>
      <c r="R77" s="19"/>
      <c r="S77" s="19"/>
      <c r="T77" s="19"/>
      <c r="U77" s="19"/>
    </row>
    <row r="78" spans="1:21" ht="170.25" customHeight="1" x14ac:dyDescent="0.45">
      <c r="A78" s="45" t="str">
        <f>Arbejdsark!$A$239</f>
        <v>Udearealer</v>
      </c>
      <c r="B78" s="43" t="str">
        <f>Arbejdsark!$B$244</f>
        <v>4.2</v>
      </c>
      <c r="C78" s="45" t="str">
        <f>IF('Sortering af spørgsmål'!$C$18=Projektforudsætninger!$C$21,Arbejdsark!$C$244,"")</f>
        <v/>
      </c>
      <c r="D78" s="46" t="str">
        <f>Arbejdsark!D78</f>
        <v>ENV2.3
Vægtning: ENV2.3 pkt. 2.1 + 2.2+3</v>
      </c>
      <c r="E78" s="45" t="str">
        <f>Arbejdsark!I78</f>
        <v>x</v>
      </c>
      <c r="F78" s="45">
        <f>Arbejdsark!J78</f>
        <v>0</v>
      </c>
      <c r="G78" s="45" t="e">
        <f>Arbejdsark!#REF!</f>
        <v>#REF!</v>
      </c>
      <c r="H78" s="45" t="e">
        <f>Arbejdsark!#REF!</f>
        <v>#REF!</v>
      </c>
      <c r="I78" s="45" t="str">
        <f>IF('Sortering af spørgsmål'!$C$18=Projektforudsætninger!$C$21,Arbejdsark!$K$244,"")</f>
        <v/>
      </c>
      <c r="J78" s="37" t="s">
        <v>9</v>
      </c>
      <c r="K78" s="41"/>
      <c r="L78" s="19"/>
      <c r="M78" s="19"/>
      <c r="N78" s="19"/>
      <c r="O78" s="19"/>
      <c r="P78" s="19"/>
      <c r="Q78" s="19"/>
      <c r="R78" s="19"/>
      <c r="S78" s="19"/>
      <c r="T78" s="19"/>
      <c r="U78" s="19"/>
    </row>
    <row r="79" spans="1:21" x14ac:dyDescent="0.45">
      <c r="A79" s="45"/>
      <c r="B79" s="45"/>
      <c r="C79" s="45"/>
      <c r="D79" s="46"/>
      <c r="E79" s="45"/>
      <c r="F79" s="45"/>
      <c r="G79" s="45"/>
      <c r="H79" s="45"/>
      <c r="I79" s="45"/>
      <c r="J79" s="47"/>
      <c r="K79" s="48"/>
      <c r="L79" s="19"/>
      <c r="M79" s="19"/>
      <c r="N79" s="19"/>
      <c r="O79" s="19"/>
      <c r="P79" s="19"/>
      <c r="Q79" s="19"/>
      <c r="R79" s="19"/>
      <c r="S79" s="19"/>
      <c r="T79" s="19"/>
      <c r="U79" s="19"/>
    </row>
    <row r="80" spans="1:21" ht="28.5" customHeight="1" x14ac:dyDescent="0.45">
      <c r="A80" s="57" t="str">
        <f>Arbejdsark!$A$250</f>
        <v>Cyklister</v>
      </c>
      <c r="B80" s="57">
        <v>5</v>
      </c>
      <c r="C80" s="57"/>
      <c r="D80" s="57"/>
      <c r="E80" s="57"/>
      <c r="F80" s="57"/>
      <c r="G80" s="57"/>
      <c r="H80" s="57"/>
      <c r="I80" s="57" t="str">
        <f>IF('Sortering af spørgsmål'!$C$19=Projektforudsætninger!$C$21,"Udfyld spørgsmål","Ingen spørgsmål")</f>
        <v>Ingen spørgsmål</v>
      </c>
      <c r="J80" s="54"/>
      <c r="K80" s="55"/>
      <c r="L80" s="19"/>
      <c r="M80" s="19"/>
      <c r="N80" s="19"/>
      <c r="O80" s="19"/>
      <c r="P80" s="19"/>
      <c r="Q80" s="19"/>
      <c r="R80" s="19"/>
      <c r="S80" s="19"/>
      <c r="T80" s="19"/>
      <c r="U80" s="19"/>
    </row>
    <row r="81" spans="1:21" ht="113.65" customHeight="1" x14ac:dyDescent="0.45">
      <c r="A81" s="45" t="str">
        <f>Arbejdsark!$A$250</f>
        <v>Cyklister</v>
      </c>
      <c r="B81" s="43" t="str">
        <f>Arbejdsark!$B$250</f>
        <v>5.1</v>
      </c>
      <c r="C81" s="45" t="str">
        <f>IF('Sortering af spørgsmål'!$C$19=Projektforudsætninger!$C$21,Arbejdsark!$C$250,"")</f>
        <v/>
      </c>
      <c r="D81" s="46">
        <f>Arbejdsark!D81</f>
        <v>0</v>
      </c>
      <c r="E81" s="45">
        <f>Arbejdsark!I81</f>
        <v>0</v>
      </c>
      <c r="F81" s="45">
        <f>Arbejdsark!J81</f>
        <v>0</v>
      </c>
      <c r="G81" s="45" t="e">
        <f>Arbejdsark!#REF!</f>
        <v>#REF!</v>
      </c>
      <c r="H81" s="45" t="e">
        <f>Arbejdsark!#REF!</f>
        <v>#REF!</v>
      </c>
      <c r="I81" s="45" t="str">
        <f>IF('Sortering af spørgsmål'!$C$19=Projektforudsætninger!$C$21,Arbejdsark!$K$250,"")</f>
        <v/>
      </c>
      <c r="J81" s="37" t="s">
        <v>9</v>
      </c>
      <c r="K81" s="41"/>
      <c r="L81" s="19"/>
      <c r="M81" s="19"/>
      <c r="N81" s="19"/>
      <c r="O81" s="19"/>
      <c r="P81" s="19"/>
      <c r="Q81" s="19"/>
      <c r="R81" s="19"/>
      <c r="S81" s="19"/>
      <c r="T81" s="19"/>
      <c r="U81" s="19"/>
    </row>
    <row r="82" spans="1:21" ht="141.75" customHeight="1" x14ac:dyDescent="0.45">
      <c r="A82" s="45" t="str">
        <f>Arbejdsark!$A$250</f>
        <v>Cyklister</v>
      </c>
      <c r="B82" s="43" t="str">
        <f>Arbejdsark!$B$255</f>
        <v>5.2</v>
      </c>
      <c r="C82" s="45" t="str">
        <f>IF('Sortering af spørgsmål'!$C$19=Projektforudsætninger!$C$21,Arbejdsark!$C$255,"")</f>
        <v/>
      </c>
      <c r="D82" s="46">
        <f>Arbejdsark!D82</f>
        <v>0</v>
      </c>
      <c r="E82" s="45">
        <f>Arbejdsark!I82</f>
        <v>0</v>
      </c>
      <c r="F82" s="45">
        <f>Arbejdsark!J82</f>
        <v>0</v>
      </c>
      <c r="G82" s="45" t="e">
        <f>Arbejdsark!#REF!</f>
        <v>#REF!</v>
      </c>
      <c r="H82" s="45" t="e">
        <f>Arbejdsark!#REF!</f>
        <v>#REF!</v>
      </c>
      <c r="I82" s="45" t="str">
        <f>IF('Sortering af spørgsmål'!$C$19=Projektforudsætninger!$C$21,Arbejdsark!$K$255,"")</f>
        <v/>
      </c>
      <c r="J82" s="37" t="s">
        <v>9</v>
      </c>
      <c r="K82" s="41"/>
      <c r="L82" s="19"/>
      <c r="M82" s="19"/>
      <c r="N82" s="19"/>
      <c r="O82" s="19"/>
      <c r="P82" s="19"/>
      <c r="Q82" s="19"/>
      <c r="R82" s="19"/>
      <c r="S82" s="19"/>
      <c r="T82" s="19"/>
      <c r="U82" s="19"/>
    </row>
    <row r="83" spans="1:21" ht="141.75" customHeight="1" x14ac:dyDescent="0.45">
      <c r="A83" s="45" t="str">
        <f>Arbejdsark!$A$250</f>
        <v>Cyklister</v>
      </c>
      <c r="B83" s="43" t="str">
        <f>Arbejdsark!$B$260</f>
        <v>5.3</v>
      </c>
      <c r="C83" s="45" t="str">
        <f>IF('Sortering af spørgsmål'!$C$19=Projektforudsætninger!$C$21,Arbejdsark!$C$260,"")</f>
        <v/>
      </c>
      <c r="D83" s="46" t="e">
        <f>Arbejdsark!#REF!</f>
        <v>#REF!</v>
      </c>
      <c r="E83" s="45" t="e">
        <f>Arbejdsark!#REF!</f>
        <v>#REF!</v>
      </c>
      <c r="F83" s="45" t="e">
        <f>Arbejdsark!#REF!</f>
        <v>#REF!</v>
      </c>
      <c r="G83" s="45" t="e">
        <f>Arbejdsark!#REF!</f>
        <v>#REF!</v>
      </c>
      <c r="H83" s="45" t="e">
        <f>Arbejdsark!#REF!</f>
        <v>#REF!</v>
      </c>
      <c r="I83" s="45" t="str">
        <f>IF('Sortering af spørgsmål'!$C$19=Projektforudsætninger!$C$21,Arbejdsark!$K$260,"")</f>
        <v/>
      </c>
      <c r="J83" s="37" t="s">
        <v>9</v>
      </c>
      <c r="K83" s="41"/>
      <c r="L83" s="19"/>
      <c r="M83" s="19"/>
      <c r="N83" s="19"/>
      <c r="O83" s="19"/>
      <c r="P83" s="19"/>
      <c r="Q83" s="19"/>
      <c r="R83" s="19"/>
      <c r="S83" s="19"/>
      <c r="T83" s="19"/>
      <c r="U83" s="19"/>
    </row>
    <row r="84" spans="1:21" x14ac:dyDescent="0.45">
      <c r="A84" s="45"/>
      <c r="B84" s="45"/>
      <c r="C84" s="45"/>
      <c r="D84" s="46"/>
      <c r="E84" s="45"/>
      <c r="F84" s="45"/>
      <c r="G84" s="45"/>
      <c r="H84" s="45"/>
      <c r="I84" s="45"/>
      <c r="J84" s="47"/>
      <c r="K84" s="48"/>
      <c r="L84" s="19"/>
      <c r="M84" s="19"/>
      <c r="N84" s="19"/>
      <c r="O84" s="19"/>
      <c r="P84" s="19"/>
      <c r="Q84" s="19"/>
      <c r="R84" s="19"/>
      <c r="S84" s="19"/>
      <c r="T84" s="19"/>
      <c r="U84" s="19"/>
    </row>
    <row r="85" spans="1:21" ht="28.5" customHeight="1" x14ac:dyDescent="0.45">
      <c r="A85" s="57" t="str">
        <f>Arbejdsark!$A$265</f>
        <v>Tryghed og sikkerhed</v>
      </c>
      <c r="B85" s="57">
        <v>6</v>
      </c>
      <c r="C85" s="57"/>
      <c r="D85" s="57"/>
      <c r="E85" s="57"/>
      <c r="F85" s="57"/>
      <c r="G85" s="57"/>
      <c r="H85" s="57"/>
      <c r="I85" s="57" t="str">
        <f>IF('Sortering af spørgsmål'!$C$20=Projektforudsætninger!$C$21,"Udfyld spørgsmål","Ingen spørgsmål")</f>
        <v>Ingen spørgsmål</v>
      </c>
      <c r="J85" s="54"/>
      <c r="K85" s="55"/>
      <c r="L85" s="19"/>
      <c r="M85" s="19"/>
      <c r="N85" s="19"/>
      <c r="O85" s="19"/>
      <c r="P85" s="19"/>
      <c r="Q85" s="19"/>
      <c r="R85" s="19"/>
      <c r="S85" s="19"/>
      <c r="T85" s="19"/>
      <c r="U85" s="19"/>
    </row>
    <row r="86" spans="1:21" ht="113.65" customHeight="1" x14ac:dyDescent="0.45">
      <c r="A86" s="45" t="str">
        <f>Arbejdsark!$A$265</f>
        <v>Tryghed og sikkerhed</v>
      </c>
      <c r="B86" s="43" t="str">
        <f>Arbejdsark!$B$265</f>
        <v>6.1</v>
      </c>
      <c r="C86" s="45" t="str">
        <f>IF('Sortering af spørgsmål'!$C$20=Projektforudsætninger!$C$21,Arbejdsark!$C$265,"")</f>
        <v/>
      </c>
      <c r="D86" s="46">
        <f>Arbejdsark!D83</f>
        <v>0</v>
      </c>
      <c r="E86" s="45">
        <f>Arbejdsark!I83</f>
        <v>0</v>
      </c>
      <c r="F86" s="45">
        <f>Arbejdsark!J83</f>
        <v>0</v>
      </c>
      <c r="G86" s="45" t="e">
        <f>Arbejdsark!#REF!</f>
        <v>#REF!</v>
      </c>
      <c r="H86" s="45" t="e">
        <f>Arbejdsark!#REF!</f>
        <v>#REF!</v>
      </c>
      <c r="I86" s="45" t="str">
        <f>IF('Sortering af spørgsmål'!$C$20=Projektforudsætninger!$C$21,Arbejdsark!$K$265,"")</f>
        <v/>
      </c>
      <c r="J86" s="37" t="s">
        <v>9</v>
      </c>
      <c r="K86" s="41"/>
      <c r="L86" s="19"/>
      <c r="M86" s="19"/>
      <c r="N86" s="19"/>
      <c r="O86" s="19"/>
      <c r="P86" s="19"/>
      <c r="Q86" s="19"/>
      <c r="R86" s="19"/>
      <c r="S86" s="19"/>
      <c r="T86" s="19"/>
      <c r="U86" s="19"/>
    </row>
    <row r="87" spans="1:21" ht="113.65" customHeight="1" x14ac:dyDescent="0.45">
      <c r="A87" s="45" t="str">
        <f>Arbejdsark!$A$265</f>
        <v>Tryghed og sikkerhed</v>
      </c>
      <c r="B87" s="43" t="str">
        <f>Arbejdsark!$B$270</f>
        <v>6.2</v>
      </c>
      <c r="C87" s="45" t="str">
        <f>IF('Sortering af spørgsmål'!$C$20=Projektforudsætninger!$C$21,Arbejdsark!$C$270,"")</f>
        <v/>
      </c>
      <c r="D87" s="46">
        <f>Arbejdsark!D85</f>
        <v>0</v>
      </c>
      <c r="E87" s="45">
        <f>Arbejdsark!I85</f>
        <v>0</v>
      </c>
      <c r="F87" s="45">
        <f>Arbejdsark!J85</f>
        <v>0</v>
      </c>
      <c r="G87" s="45" t="e">
        <f>Arbejdsark!#REF!</f>
        <v>#REF!</v>
      </c>
      <c r="H87" s="45" t="e">
        <f>Arbejdsark!#REF!</f>
        <v>#REF!</v>
      </c>
      <c r="I87" s="45" t="str">
        <f>IF('Sortering af spørgsmål'!$C$20=Projektforudsætninger!$C$21,Arbejdsark!$K$270,"")</f>
        <v/>
      </c>
      <c r="J87" s="37" t="s">
        <v>9</v>
      </c>
      <c r="K87" s="41"/>
      <c r="L87" s="19"/>
      <c r="M87" s="19"/>
      <c r="N87" s="19"/>
      <c r="O87" s="19"/>
      <c r="P87" s="19"/>
      <c r="Q87" s="19"/>
      <c r="R87" s="19"/>
      <c r="S87" s="19"/>
      <c r="T87" s="19"/>
      <c r="U87" s="19"/>
    </row>
    <row r="88" spans="1:21" x14ac:dyDescent="0.45">
      <c r="A88" s="45"/>
      <c r="B88" s="45"/>
      <c r="C88" s="45"/>
      <c r="D88" s="46"/>
      <c r="E88" s="45"/>
      <c r="F88" s="45"/>
      <c r="G88" s="45"/>
      <c r="H88" s="45"/>
      <c r="I88" s="45"/>
      <c r="J88" s="47"/>
      <c r="K88" s="48"/>
      <c r="L88" s="19"/>
      <c r="M88" s="19"/>
      <c r="N88" s="19"/>
      <c r="O88" s="19"/>
      <c r="P88" s="19"/>
      <c r="Q88" s="19"/>
      <c r="R88" s="19"/>
      <c r="S88" s="19"/>
      <c r="T88" s="19"/>
      <c r="U88" s="19"/>
    </row>
    <row r="89" spans="1:21" ht="28.5" customHeight="1" x14ac:dyDescent="0.45">
      <c r="A89" s="57" t="str">
        <f>Arbejdsark!$A$279</f>
        <v>Arkitektonisk kvalitet</v>
      </c>
      <c r="B89" s="57">
        <v>7</v>
      </c>
      <c r="C89" s="57"/>
      <c r="D89" s="57"/>
      <c r="E89" s="57"/>
      <c r="F89" s="57"/>
      <c r="G89" s="57"/>
      <c r="H89" s="57"/>
      <c r="I89" s="57" t="str">
        <f>IF('Sortering af spørgsmål'!$C$21=Projektforudsætninger!$C$21,"Udfyld spørgsmål","Ingen spørgsmål")</f>
        <v>Ingen spørgsmål</v>
      </c>
      <c r="J89" s="54"/>
      <c r="K89" s="55"/>
      <c r="L89" s="19"/>
      <c r="M89" s="19"/>
      <c r="N89" s="19"/>
      <c r="O89" s="19"/>
      <c r="P89" s="19"/>
      <c r="Q89" s="19"/>
      <c r="R89" s="19"/>
      <c r="S89" s="19"/>
      <c r="T89" s="19"/>
      <c r="U89" s="19"/>
    </row>
    <row r="90" spans="1:21" ht="169.9" customHeight="1" x14ac:dyDescent="0.45">
      <c r="A90" s="45" t="str">
        <f>IF(Projektforudsætninger!C40="Totalentreprisekonkurrence eller OPP leverance",Arbejdsark!$A$279,"")</f>
        <v/>
      </c>
      <c r="B90" s="43" t="str">
        <f>Arbejdsark!$B$289</f>
        <v>7.1</v>
      </c>
      <c r="C90" s="45" t="str">
        <f>IF('Sortering af spørgsmål'!$C$21=Projektforudsætninger!$C$21,IF(Projektforudsætninger!C40="Totalentreprisekonkurrence eller OPP leverance",Arbejdsark!C289,""),"")</f>
        <v/>
      </c>
      <c r="D90" s="46"/>
      <c r="E90" s="45"/>
      <c r="F90" s="45"/>
      <c r="G90" s="45"/>
      <c r="H90" s="45"/>
      <c r="I90" s="45" t="str">
        <f>IF('Sortering af spørgsmål'!$C$21=Projektforudsætninger!$C$21,IF(Projektforudsætninger!C40="Totalentreprisekonkurrence eller OPP leverance",Arbejdsark!$K$289,""),"")</f>
        <v/>
      </c>
      <c r="J90" s="37" t="s">
        <v>9</v>
      </c>
      <c r="K90" s="41"/>
      <c r="L90" s="19"/>
      <c r="M90" s="19"/>
      <c r="N90" s="19"/>
      <c r="O90" s="19"/>
      <c r="P90" s="19"/>
      <c r="Q90" s="19"/>
      <c r="R90" s="19"/>
      <c r="S90" s="19"/>
      <c r="T90" s="19"/>
      <c r="U90" s="19"/>
    </row>
    <row r="91" spans="1:21" ht="72" customHeight="1" x14ac:dyDescent="0.45">
      <c r="A91" s="45"/>
      <c r="B91" s="43" t="str">
        <f>Arbejdsark!$B$294</f>
        <v>7.2</v>
      </c>
      <c r="C91" s="45" t="str">
        <f>IF('Sortering af spørgsmål'!$C$21=Projektforudsætninger!$C$21,IF(Projektforudsætninger!C40="Totalentreprisekonkurrence eller OPP leverance",Arbejdsark!C294,""),"")</f>
        <v/>
      </c>
      <c r="D91" s="46"/>
      <c r="E91" s="45"/>
      <c r="F91" s="45"/>
      <c r="G91" s="45"/>
      <c r="H91" s="45"/>
      <c r="I91" s="45" t="str">
        <f>IF('Sortering af spørgsmål'!$C$21=Projektforudsætninger!$C$21,IF(Projektforudsætninger!C40="Totalentreprisekonkurrence eller OPP leverance",Arbejdsark!$K$294,""),"")</f>
        <v/>
      </c>
      <c r="J91" s="37" t="s">
        <v>9</v>
      </c>
      <c r="K91" s="41"/>
      <c r="L91" s="19"/>
      <c r="M91" s="19"/>
      <c r="N91" s="19"/>
      <c r="O91" s="19"/>
      <c r="P91" s="19"/>
      <c r="Q91" s="19"/>
      <c r="R91" s="19"/>
      <c r="S91" s="19"/>
      <c r="T91" s="19"/>
      <c r="U91" s="19"/>
    </row>
    <row r="92" spans="1:21" x14ac:dyDescent="0.45">
      <c r="A92" s="45"/>
      <c r="B92" s="45"/>
      <c r="C92" s="45"/>
      <c r="D92" s="46"/>
      <c r="E92" s="45"/>
      <c r="F92" s="45"/>
      <c r="G92" s="45"/>
      <c r="H92" s="45"/>
      <c r="I92" s="45"/>
      <c r="J92" s="47"/>
      <c r="K92" s="48"/>
      <c r="L92" s="19"/>
      <c r="M92" s="19"/>
      <c r="N92" s="19"/>
      <c r="O92" s="19"/>
      <c r="P92" s="19"/>
      <c r="Q92" s="19"/>
      <c r="R92" s="19"/>
      <c r="S92" s="19"/>
      <c r="T92" s="19"/>
      <c r="U92" s="19"/>
    </row>
    <row r="93" spans="1:21" ht="28.5" customHeight="1" x14ac:dyDescent="0.45">
      <c r="A93" s="57" t="str">
        <f>Arbejdsark!$A$300</f>
        <v>Plandisponering</v>
      </c>
      <c r="B93" s="57">
        <v>8</v>
      </c>
      <c r="C93" s="57"/>
      <c r="D93" s="57"/>
      <c r="E93" s="57"/>
      <c r="F93" s="57"/>
      <c r="G93" s="57"/>
      <c r="H93" s="57"/>
      <c r="I93" s="57" t="str">
        <f>IF('Sortering af spørgsmål'!$C$22=Projektforudsætninger!$C$21,"Udfyld spørgsmål","Ingen spørgsmål")</f>
        <v>Ingen spørgsmål</v>
      </c>
      <c r="J93" s="54"/>
      <c r="K93" s="55"/>
      <c r="L93" s="19"/>
      <c r="M93" s="19"/>
      <c r="N93" s="19"/>
      <c r="O93" s="19"/>
      <c r="P93" s="19"/>
      <c r="Q93" s="19"/>
      <c r="R93" s="19"/>
      <c r="S93" s="19"/>
      <c r="T93" s="19"/>
      <c r="U93" s="19"/>
    </row>
    <row r="94" spans="1:21" ht="113.65" customHeight="1" x14ac:dyDescent="0.45">
      <c r="A94" s="45" t="str">
        <f>Arbejdsark!$A$300</f>
        <v>Plandisponering</v>
      </c>
      <c r="B94" s="43" t="str">
        <f>Arbejdsark!$B$300</f>
        <v>8.1</v>
      </c>
      <c r="C94" s="45" t="str">
        <f>IF('Sortering af spørgsmål'!$C$22=Projektforudsætninger!$C$21,Arbejdsark!$C$300,"")</f>
        <v/>
      </c>
      <c r="D94" s="46" t="str">
        <f>Arbejdsark!D91</f>
        <v>ECO2.2
Vægtning: ECO2.2 pkt. 1.1 + 1.2 +1.3</v>
      </c>
      <c r="E94" s="45" t="str">
        <f>Arbejdsark!I91</f>
        <v>x</v>
      </c>
      <c r="F94" s="45">
        <f>Arbejdsark!J91</f>
        <v>0</v>
      </c>
      <c r="G94" s="45" t="e">
        <f>Arbejdsark!#REF!</f>
        <v>#REF!</v>
      </c>
      <c r="H94" s="45" t="e">
        <f>Arbejdsark!#REF!</f>
        <v>#REF!</v>
      </c>
      <c r="I94" s="45" t="str">
        <f>IF('Sortering af spørgsmål'!$C$22=Projektforudsætninger!$C$21,Arbejdsark!$K$300,"")</f>
        <v/>
      </c>
      <c r="J94" s="37" t="s">
        <v>9</v>
      </c>
      <c r="K94" s="41"/>
      <c r="L94" s="19"/>
      <c r="M94" s="19"/>
      <c r="N94" s="19"/>
      <c r="O94" s="19"/>
      <c r="P94" s="19"/>
      <c r="Q94" s="19"/>
      <c r="R94" s="19"/>
      <c r="S94" s="19"/>
      <c r="T94" s="19"/>
      <c r="U94" s="19"/>
    </row>
    <row r="95" spans="1:21" ht="113.65" customHeight="1" x14ac:dyDescent="0.45">
      <c r="A95" s="45" t="str">
        <f>Arbejdsark!$A$300</f>
        <v>Plandisponering</v>
      </c>
      <c r="B95" s="43" t="str">
        <f>Arbejdsark!$B$306</f>
        <v>8.2</v>
      </c>
      <c r="C95" s="45" t="str">
        <f>IF('Sortering af spørgsmål'!$C$22=Projektforudsætninger!$C$21,Arbejdsark!$C$306,"")</f>
        <v/>
      </c>
      <c r="D95" s="46">
        <f>Arbejdsark!D92</f>
        <v>0</v>
      </c>
      <c r="E95" s="45">
        <f>Arbejdsark!I92</f>
        <v>0</v>
      </c>
      <c r="F95" s="45">
        <f>Arbejdsark!J92</f>
        <v>0</v>
      </c>
      <c r="G95" s="45" t="e">
        <f>Arbejdsark!#REF!</f>
        <v>#REF!</v>
      </c>
      <c r="H95" s="45" t="e">
        <f>Arbejdsark!#REF!</f>
        <v>#REF!</v>
      </c>
      <c r="I95" s="45" t="str">
        <f>IF('Sortering af spørgsmål'!$C$22=Projektforudsætninger!$C$21,Arbejdsark!$K$306,"")</f>
        <v/>
      </c>
      <c r="J95" s="37" t="s">
        <v>9</v>
      </c>
      <c r="K95" s="41"/>
      <c r="L95" s="19"/>
      <c r="M95" s="19"/>
      <c r="N95" s="19"/>
      <c r="O95" s="19"/>
      <c r="P95" s="19"/>
      <c r="Q95" s="19"/>
      <c r="R95" s="19"/>
      <c r="S95" s="19"/>
      <c r="T95" s="19"/>
      <c r="U95" s="19"/>
    </row>
    <row r="96" spans="1:21" ht="141.75" customHeight="1" x14ac:dyDescent="0.45">
      <c r="A96" s="45" t="str">
        <f>Arbejdsark!$A$300</f>
        <v>Plandisponering</v>
      </c>
      <c r="B96" s="43" t="str">
        <f>Arbejdsark!$B$311</f>
        <v>8.3</v>
      </c>
      <c r="C96" s="45" t="str">
        <f>IF('Sortering af spørgsmål'!$C$22=Projektforudsætninger!$C$21,Arbejdsark!$C$311,"")</f>
        <v/>
      </c>
      <c r="D96" s="46">
        <f>Arbejdsark!D93</f>
        <v>0</v>
      </c>
      <c r="E96" s="45">
        <f>Arbejdsark!I93</f>
        <v>0</v>
      </c>
      <c r="F96" s="45">
        <f>Arbejdsark!J93</f>
        <v>0</v>
      </c>
      <c r="G96" s="45" t="e">
        <f>Arbejdsark!#REF!</f>
        <v>#REF!</v>
      </c>
      <c r="H96" s="45" t="e">
        <f>Arbejdsark!#REF!</f>
        <v>#REF!</v>
      </c>
      <c r="I96" s="45" t="str">
        <f>IF('Sortering af spørgsmål'!$C$22=Projektforudsætninger!$C$21,Arbejdsark!$K$311,"")</f>
        <v/>
      </c>
      <c r="J96" s="37" t="s">
        <v>9</v>
      </c>
      <c r="K96" s="41"/>
      <c r="L96" s="19"/>
      <c r="M96" s="19"/>
      <c r="N96" s="19"/>
      <c r="O96" s="19"/>
      <c r="P96" s="19"/>
      <c r="Q96" s="19"/>
      <c r="R96" s="19"/>
      <c r="S96" s="19"/>
      <c r="T96" s="19"/>
      <c r="U96" s="19"/>
    </row>
    <row r="97" spans="1:21" ht="113.65" customHeight="1" x14ac:dyDescent="0.45">
      <c r="A97" s="45" t="str">
        <f>Arbejdsark!$A$300</f>
        <v>Plandisponering</v>
      </c>
      <c r="B97" s="43" t="str">
        <f>Arbejdsark!$B$316</f>
        <v>8.4</v>
      </c>
      <c r="C97" s="45" t="str">
        <f>IF('Sortering af spørgsmål'!$C$22=Projektforudsætninger!$C$21,Arbejdsark!$C$316,"")</f>
        <v/>
      </c>
      <c r="D97" s="46">
        <f>Arbejdsark!D94</f>
        <v>0</v>
      </c>
      <c r="E97" s="45">
        <f>Arbejdsark!I94</f>
        <v>0</v>
      </c>
      <c r="F97" s="45">
        <f>Arbejdsark!J94</f>
        <v>0</v>
      </c>
      <c r="G97" s="45" t="e">
        <f>Arbejdsark!#REF!</f>
        <v>#REF!</v>
      </c>
      <c r="H97" s="45" t="e">
        <f>Arbejdsark!#REF!</f>
        <v>#REF!</v>
      </c>
      <c r="I97" s="45" t="str">
        <f>IF('Sortering af spørgsmål'!$C$22=Projektforudsætninger!$C$21,Arbejdsark!$K$316,"")</f>
        <v/>
      </c>
      <c r="J97" s="37" t="s">
        <v>9</v>
      </c>
      <c r="K97" s="41"/>
      <c r="L97" s="19"/>
      <c r="M97" s="19"/>
      <c r="N97" s="19"/>
      <c r="O97" s="19"/>
      <c r="P97" s="19"/>
      <c r="Q97" s="19"/>
      <c r="R97" s="19"/>
      <c r="S97" s="19"/>
      <c r="T97" s="19"/>
      <c r="U97" s="19"/>
    </row>
    <row r="98" spans="1:21" ht="141.75" customHeight="1" x14ac:dyDescent="0.45">
      <c r="A98" s="45" t="str">
        <f>Arbejdsark!$A$300</f>
        <v>Plandisponering</v>
      </c>
      <c r="B98" s="43" t="str">
        <f>Arbejdsark!$B$321</f>
        <v>8.5</v>
      </c>
      <c r="C98" s="45" t="str">
        <f>IF('Sortering af spørgsmål'!$C$22=Projektforudsætninger!$C$21,Arbejdsark!$C$321,"")</f>
        <v/>
      </c>
      <c r="D98" s="46">
        <f>Arbejdsark!D95</f>
        <v>0</v>
      </c>
      <c r="E98" s="45">
        <f>Arbejdsark!I95</f>
        <v>0</v>
      </c>
      <c r="F98" s="45">
        <f>Arbejdsark!J95</f>
        <v>0</v>
      </c>
      <c r="G98" s="45" t="e">
        <f>Arbejdsark!#REF!</f>
        <v>#REF!</v>
      </c>
      <c r="H98" s="45" t="e">
        <f>Arbejdsark!#REF!</f>
        <v>#REF!</v>
      </c>
      <c r="I98" s="45" t="str">
        <f>IF('Sortering af spørgsmål'!$C$22=Projektforudsætninger!$C$21,Arbejdsark!$K$321,"")</f>
        <v/>
      </c>
      <c r="J98" s="37" t="s">
        <v>9</v>
      </c>
      <c r="K98" s="41"/>
      <c r="L98" s="19"/>
      <c r="M98" s="19"/>
      <c r="N98" s="19"/>
      <c r="O98" s="19"/>
      <c r="P98" s="19"/>
      <c r="Q98" s="19"/>
      <c r="R98" s="19"/>
      <c r="S98" s="19"/>
      <c r="T98" s="19"/>
      <c r="U98" s="19"/>
    </row>
    <row r="99" spans="1:21" ht="113.65" customHeight="1" x14ac:dyDescent="0.45">
      <c r="A99" s="45" t="str">
        <f>Arbejdsark!$A$300</f>
        <v>Plandisponering</v>
      </c>
      <c r="B99" s="43" t="str">
        <f>Arbejdsark!$B$326</f>
        <v>8.6</v>
      </c>
      <c r="C99" s="45" t="str">
        <f>IF('Sortering af spørgsmål'!$C$22=Projektforudsætninger!$C$21,Arbejdsark!$C$326,"")</f>
        <v/>
      </c>
      <c r="D99" s="46" t="e">
        <f>Arbejdsark!#REF!</f>
        <v>#REF!</v>
      </c>
      <c r="E99" s="45" t="e">
        <f>Arbejdsark!#REF!</f>
        <v>#REF!</v>
      </c>
      <c r="F99" s="45" t="e">
        <f>Arbejdsark!#REF!</f>
        <v>#REF!</v>
      </c>
      <c r="G99" s="45" t="e">
        <f>Arbejdsark!#REF!</f>
        <v>#REF!</v>
      </c>
      <c r="H99" s="45" t="e">
        <f>Arbejdsark!#REF!</f>
        <v>#REF!</v>
      </c>
      <c r="I99" s="45" t="str">
        <f>IF('Sortering af spørgsmål'!$C$22=Projektforudsætninger!$C$21,Arbejdsark!$K$326,"")</f>
        <v/>
      </c>
      <c r="J99" s="37" t="s">
        <v>9</v>
      </c>
      <c r="K99" s="41"/>
      <c r="L99" s="19"/>
      <c r="M99" s="19"/>
      <c r="N99" s="19"/>
      <c r="O99" s="19"/>
      <c r="P99" s="19"/>
      <c r="Q99" s="19"/>
      <c r="R99" s="19"/>
      <c r="S99" s="19"/>
      <c r="T99" s="19"/>
      <c r="U99" s="19"/>
    </row>
    <row r="100" spans="1:21" ht="113.65" customHeight="1" x14ac:dyDescent="0.45">
      <c r="A100" s="45" t="str">
        <f>Arbejdsark!$A$300</f>
        <v>Plandisponering</v>
      </c>
      <c r="B100" s="43" t="str">
        <f>Arbejdsark!$B$331</f>
        <v>8.7</v>
      </c>
      <c r="C100" s="45" t="str">
        <f>IF('Sortering af spørgsmål'!$C$22=Projektforudsætninger!$C$21,Arbejdsark!$C$331,"")</f>
        <v/>
      </c>
      <c r="D100" s="46" t="str">
        <f>Arbejdsark!D109</f>
        <v>ECO1.1
Vægtning: 13% af ECO1.1</v>
      </c>
      <c r="E100" s="45" t="str">
        <f>Arbejdsark!I109</f>
        <v>x</v>
      </c>
      <c r="F100" s="45">
        <f>Arbejdsark!J109</f>
        <v>0</v>
      </c>
      <c r="G100" s="45" t="e">
        <f>Arbejdsark!#REF!</f>
        <v>#REF!</v>
      </c>
      <c r="H100" s="45" t="e">
        <f>Arbejdsark!#REF!</f>
        <v>#REF!</v>
      </c>
      <c r="I100" s="45" t="str">
        <f>IF('Sortering af spørgsmål'!$C$22=Projektforudsætninger!$C$21,Arbejdsark!$K$331,"")</f>
        <v/>
      </c>
      <c r="J100" s="37" t="s">
        <v>9</v>
      </c>
      <c r="K100" s="41"/>
      <c r="L100" s="19"/>
      <c r="M100" s="19"/>
      <c r="N100" s="19"/>
      <c r="O100" s="19"/>
      <c r="P100" s="19"/>
      <c r="Q100" s="19"/>
      <c r="R100" s="19"/>
      <c r="S100" s="19"/>
      <c r="T100" s="19"/>
      <c r="U100" s="19"/>
    </row>
    <row r="101" spans="1:21" ht="113.65" customHeight="1" x14ac:dyDescent="0.45">
      <c r="A101" s="45" t="str">
        <f>Arbejdsark!$A$300</f>
        <v>Plandisponering</v>
      </c>
      <c r="B101" s="43" t="str">
        <f>Arbejdsark!$B$336</f>
        <v>8.8</v>
      </c>
      <c r="C101" s="45" t="str">
        <f>IF('Sortering af spørgsmål'!$C$22=Projektforudsætninger!$C$21,Arbejdsark!$C$336,"")</f>
        <v/>
      </c>
      <c r="D101" s="46">
        <f>Arbejdsark!D110</f>
        <v>0</v>
      </c>
      <c r="E101" s="45">
        <f>Arbejdsark!I110</f>
        <v>0</v>
      </c>
      <c r="F101" s="45">
        <f>Arbejdsark!J110</f>
        <v>0</v>
      </c>
      <c r="G101" s="45" t="e">
        <f>Arbejdsark!#REF!</f>
        <v>#REF!</v>
      </c>
      <c r="H101" s="45" t="e">
        <f>Arbejdsark!#REF!</f>
        <v>#REF!</v>
      </c>
      <c r="I101" s="45" t="str">
        <f>IF('Sortering af spørgsmål'!$C$22=Projektforudsætninger!$C$21,Arbejdsark!$K$336,"")</f>
        <v/>
      </c>
      <c r="J101" s="37" t="s">
        <v>9</v>
      </c>
      <c r="K101" s="41"/>
      <c r="L101" s="19"/>
      <c r="M101" s="19"/>
      <c r="N101" s="19"/>
      <c r="O101" s="19"/>
      <c r="P101" s="19"/>
      <c r="Q101" s="19"/>
      <c r="R101" s="19"/>
      <c r="S101" s="19"/>
      <c r="T101" s="19"/>
      <c r="U101" s="19"/>
    </row>
    <row r="102" spans="1:21" ht="113.65" customHeight="1" x14ac:dyDescent="0.45">
      <c r="A102" s="45" t="str">
        <f>Arbejdsark!$A$300</f>
        <v>Plandisponering</v>
      </c>
      <c r="B102" s="43" t="str">
        <f>Arbejdsark!$B$341</f>
        <v>8.9</v>
      </c>
      <c r="C102" s="45" t="str">
        <f>IF('Sortering af spørgsmål'!$C$22=Projektforudsætninger!$C$21,Arbejdsark!$C$341,"")</f>
        <v/>
      </c>
      <c r="D102" s="46">
        <f>Arbejdsark!D111</f>
        <v>0</v>
      </c>
      <c r="E102" s="45">
        <f>Arbejdsark!I111</f>
        <v>0</v>
      </c>
      <c r="F102" s="45">
        <f>Arbejdsark!J111</f>
        <v>0</v>
      </c>
      <c r="G102" s="45" t="e">
        <f>Arbejdsark!#REF!</f>
        <v>#REF!</v>
      </c>
      <c r="H102" s="45" t="e">
        <f>Arbejdsark!#REF!</f>
        <v>#REF!</v>
      </c>
      <c r="I102" s="45" t="str">
        <f>IF('Sortering af spørgsmål'!$C$22=Projektforudsætninger!$C$21,Arbejdsark!$K$341,"")</f>
        <v/>
      </c>
      <c r="J102" s="37" t="s">
        <v>9</v>
      </c>
      <c r="K102" s="41"/>
      <c r="L102" s="19"/>
      <c r="M102" s="19"/>
      <c r="N102" s="19"/>
      <c r="O102" s="19"/>
      <c r="P102" s="19"/>
      <c r="Q102" s="19"/>
      <c r="R102" s="19"/>
      <c r="S102" s="19"/>
      <c r="T102" s="19"/>
      <c r="U102" s="19"/>
    </row>
    <row r="103" spans="1:21" ht="113.65" customHeight="1" x14ac:dyDescent="0.45">
      <c r="A103" s="45" t="str">
        <f>Arbejdsark!$A$300</f>
        <v>Plandisponering</v>
      </c>
      <c r="B103" s="43" t="str">
        <f>Arbejdsark!$B$346</f>
        <v>8.10</v>
      </c>
      <c r="C103" s="45" t="str">
        <f>IF('Sortering af spørgsmål'!$C$22=Projektforudsætninger!$C$21,Arbejdsark!$C$346,"")</f>
        <v/>
      </c>
      <c r="D103" s="46">
        <f>Arbejdsark!D112</f>
        <v>0</v>
      </c>
      <c r="E103" s="45">
        <f>Arbejdsark!I112</f>
        <v>0</v>
      </c>
      <c r="F103" s="45">
        <f>Arbejdsark!J112</f>
        <v>0</v>
      </c>
      <c r="G103" s="45" t="e">
        <f>Arbejdsark!#REF!</f>
        <v>#REF!</v>
      </c>
      <c r="H103" s="45" t="e">
        <f>Arbejdsark!#REF!</f>
        <v>#REF!</v>
      </c>
      <c r="I103" s="45" t="str">
        <f>IF('Sortering af spørgsmål'!$C$22=Projektforudsætninger!$C$21,Arbejdsark!$K$346,"")</f>
        <v/>
      </c>
      <c r="J103" s="37" t="s">
        <v>9</v>
      </c>
      <c r="K103" s="41"/>
      <c r="L103" s="19"/>
      <c r="M103" s="19"/>
      <c r="N103" s="19"/>
      <c r="O103" s="19"/>
      <c r="P103" s="19"/>
      <c r="Q103" s="19"/>
      <c r="R103" s="19"/>
      <c r="S103" s="19"/>
      <c r="T103" s="19"/>
      <c r="U103" s="19"/>
    </row>
    <row r="104" spans="1:21" ht="113.65" customHeight="1" x14ac:dyDescent="0.45">
      <c r="A104" s="45" t="str">
        <f>Arbejdsark!$A$300</f>
        <v>Plandisponering</v>
      </c>
      <c r="B104" s="43" t="str">
        <f>Arbejdsark!$B$351</f>
        <v>8.11</v>
      </c>
      <c r="C104" s="45" t="str">
        <f>IF('Sortering af spørgsmål'!$C$22=Projektforudsætninger!$C$21,Arbejdsark!$C$351,"")</f>
        <v/>
      </c>
      <c r="D104" s="46"/>
      <c r="E104" s="45"/>
      <c r="F104" s="45"/>
      <c r="G104" s="45"/>
      <c r="H104" s="45"/>
      <c r="I104" s="45" t="str">
        <f>IF('Sortering af spørgsmål'!$C$22=Projektforudsætninger!$C$21,Arbejdsark!$K$351,"")</f>
        <v/>
      </c>
      <c r="J104" s="37" t="s">
        <v>9</v>
      </c>
      <c r="K104" s="41"/>
      <c r="L104" s="19"/>
      <c r="M104" s="19"/>
      <c r="N104" s="19"/>
      <c r="O104" s="19"/>
      <c r="P104" s="19"/>
      <c r="Q104" s="19"/>
      <c r="R104" s="19"/>
      <c r="S104" s="19"/>
      <c r="T104" s="19"/>
      <c r="U104" s="19"/>
    </row>
    <row r="105" spans="1:21" ht="113.65" customHeight="1" x14ac:dyDescent="0.45">
      <c r="A105" s="45" t="str">
        <f>Arbejdsark!$A$300</f>
        <v>Plandisponering</v>
      </c>
      <c r="B105" s="43" t="str">
        <f>Arbejdsark!$B$356</f>
        <v>8.12</v>
      </c>
      <c r="C105" s="45" t="str">
        <f>IF('Sortering af spørgsmål'!$C$22=Projektforudsætninger!$C$21,Arbejdsark!$C$356,"")</f>
        <v/>
      </c>
      <c r="D105" s="46">
        <f>Arbejdsark!D113</f>
        <v>0</v>
      </c>
      <c r="E105" s="45">
        <f>Arbejdsark!I113</f>
        <v>0</v>
      </c>
      <c r="F105" s="45">
        <f>Arbejdsark!J113</f>
        <v>0</v>
      </c>
      <c r="G105" s="45" t="e">
        <f>Arbejdsark!#REF!</f>
        <v>#REF!</v>
      </c>
      <c r="H105" s="45" t="e">
        <f>Arbejdsark!#REF!</f>
        <v>#REF!</v>
      </c>
      <c r="I105" s="45" t="str">
        <f>IF('Sortering af spørgsmål'!$C$22=Projektforudsætninger!$C$21,Arbejdsark!$K$356,"")</f>
        <v/>
      </c>
      <c r="J105" s="37" t="s">
        <v>9</v>
      </c>
      <c r="K105" s="41"/>
      <c r="L105" s="19"/>
      <c r="M105" s="19"/>
      <c r="N105" s="19"/>
      <c r="O105" s="19"/>
      <c r="P105" s="19"/>
      <c r="Q105" s="19"/>
      <c r="R105" s="19"/>
      <c r="S105" s="19"/>
      <c r="T105" s="19"/>
      <c r="U105" s="19"/>
    </row>
    <row r="106" spans="1:21" ht="141.75" customHeight="1" x14ac:dyDescent="0.45">
      <c r="A106" s="45" t="str">
        <f>Arbejdsark!$A$300</f>
        <v>Plandisponering</v>
      </c>
      <c r="B106" s="43" t="str">
        <f>Arbejdsark!$B$361</f>
        <v>8.13</v>
      </c>
      <c r="C106" s="45" t="str">
        <f>IF('Sortering af spørgsmål'!$C$22=Projektforudsætninger!$C$21,Arbejdsark!$C$361,"")</f>
        <v/>
      </c>
      <c r="D106" s="46" t="str">
        <f>Arbejdsark!D114</f>
        <v>ECO2.1
Vægtning: ECO2.1 pkt 2</v>
      </c>
      <c r="E106" s="45" t="str">
        <f>Arbejdsark!I114</f>
        <v>x</v>
      </c>
      <c r="F106" s="45">
        <f>Arbejdsark!J114</f>
        <v>0</v>
      </c>
      <c r="G106" s="45" t="e">
        <f>Arbejdsark!#REF!</f>
        <v>#REF!</v>
      </c>
      <c r="H106" s="45" t="e">
        <f>Arbejdsark!#REF!</f>
        <v>#REF!</v>
      </c>
      <c r="I106" s="45" t="str">
        <f>IF('Sortering af spørgsmål'!$C$22=Projektforudsætninger!$C$21,Arbejdsark!$K$361,"")</f>
        <v/>
      </c>
      <c r="J106" s="37" t="s">
        <v>9</v>
      </c>
      <c r="K106" s="41"/>
      <c r="L106" s="19"/>
      <c r="M106" s="19"/>
      <c r="N106" s="19"/>
      <c r="O106" s="19"/>
      <c r="P106" s="19"/>
      <c r="Q106" s="19"/>
      <c r="R106" s="19"/>
      <c r="S106" s="19"/>
      <c r="T106" s="19"/>
      <c r="U106" s="19"/>
    </row>
    <row r="107" spans="1:21" ht="113.65" customHeight="1" x14ac:dyDescent="0.45">
      <c r="A107" s="45" t="str">
        <f>Arbejdsark!$A$300</f>
        <v>Plandisponering</v>
      </c>
      <c r="B107" s="43" t="str">
        <f>Arbejdsark!$B$366</f>
        <v>8.14</v>
      </c>
      <c r="C107" s="45" t="str">
        <f>IF('Sortering af spørgsmål'!$C$22=Projektforudsætninger!$C$21,Arbejdsark!$C$366,"")</f>
        <v/>
      </c>
      <c r="D107" s="46"/>
      <c r="E107" s="45"/>
      <c r="F107" s="45"/>
      <c r="G107" s="45"/>
      <c r="H107" s="45"/>
      <c r="I107" s="45" t="str">
        <f>IF('Sortering af spørgsmål'!$C$22=Projektforudsætninger!$C$21,Arbejdsark!$K$366,"")</f>
        <v/>
      </c>
      <c r="J107" s="37" t="s">
        <v>9</v>
      </c>
      <c r="K107" s="41"/>
      <c r="L107" s="19"/>
      <c r="M107" s="19"/>
      <c r="N107" s="19"/>
      <c r="O107" s="19"/>
      <c r="P107" s="19"/>
      <c r="Q107" s="19"/>
      <c r="R107" s="19"/>
      <c r="S107" s="19"/>
      <c r="T107" s="19"/>
      <c r="U107" s="19"/>
    </row>
    <row r="108" spans="1:21" ht="85.15" customHeight="1" x14ac:dyDescent="0.45">
      <c r="A108" s="45" t="str">
        <f>Arbejdsark!$A$300</f>
        <v>Plandisponering</v>
      </c>
      <c r="B108" s="43" t="str">
        <f>Arbejdsark!$B$371</f>
        <v>8.15</v>
      </c>
      <c r="C108" s="45" t="str">
        <f>IF('Sortering af spørgsmål'!$C$22=Projektforudsætninger!$C$21,Arbejdsark!$C$371,"")</f>
        <v/>
      </c>
      <c r="D108" s="46">
        <f>Arbejdsark!D115</f>
        <v>0</v>
      </c>
      <c r="E108" s="45">
        <f>Arbejdsark!I115</f>
        <v>0</v>
      </c>
      <c r="F108" s="45">
        <f>Arbejdsark!J115</f>
        <v>0</v>
      </c>
      <c r="G108" s="45" t="e">
        <f>Arbejdsark!#REF!</f>
        <v>#REF!</v>
      </c>
      <c r="H108" s="45" t="e">
        <f>Arbejdsark!#REF!</f>
        <v>#REF!</v>
      </c>
      <c r="I108" s="45" t="str">
        <f>IF('Sortering af spørgsmål'!$C$22=Projektforudsætninger!$C$21,Arbejdsark!$K$371,"")</f>
        <v/>
      </c>
      <c r="J108" s="37" t="s">
        <v>9</v>
      </c>
      <c r="K108" s="41"/>
      <c r="L108" s="19"/>
      <c r="M108" s="19"/>
      <c r="N108" s="19"/>
      <c r="O108" s="19"/>
      <c r="P108" s="19"/>
      <c r="Q108" s="19"/>
      <c r="R108" s="19"/>
      <c r="S108" s="19"/>
      <c r="T108" s="19"/>
      <c r="U108" s="19"/>
    </row>
    <row r="109" spans="1:21" x14ac:dyDescent="0.45">
      <c r="A109" s="45"/>
      <c r="B109" s="45"/>
      <c r="C109" s="45"/>
      <c r="D109" s="46"/>
      <c r="E109" s="45"/>
      <c r="F109" s="45"/>
      <c r="G109" s="45"/>
      <c r="H109" s="45"/>
      <c r="I109" s="45"/>
      <c r="J109" s="47"/>
      <c r="K109" s="48"/>
      <c r="L109" s="19"/>
      <c r="M109" s="19"/>
      <c r="N109" s="19"/>
      <c r="O109" s="19"/>
      <c r="P109" s="19"/>
      <c r="Q109" s="19"/>
      <c r="R109" s="19"/>
      <c r="S109" s="19"/>
      <c r="T109" s="19"/>
      <c r="U109" s="19"/>
    </row>
    <row r="110" spans="1:21" s="33" customFormat="1" ht="28.5" customHeight="1" x14ac:dyDescent="0.45">
      <c r="A110" s="274" t="str">
        <f>Arbejdsark!$A$376</f>
        <v>TEKNISK KVALITET</v>
      </c>
      <c r="B110" s="274"/>
      <c r="C110" s="274"/>
      <c r="D110" s="274"/>
      <c r="E110" s="274"/>
      <c r="F110" s="274"/>
      <c r="G110" s="274"/>
      <c r="H110" s="274"/>
      <c r="I110" s="275"/>
      <c r="J110" s="276"/>
      <c r="K110" s="277"/>
      <c r="L110" s="32"/>
      <c r="M110" s="32"/>
      <c r="N110" s="32"/>
      <c r="O110" s="32"/>
      <c r="P110" s="32"/>
      <c r="Q110" s="32"/>
      <c r="R110" s="32"/>
      <c r="S110" s="32"/>
      <c r="T110" s="32"/>
      <c r="U110" s="32"/>
    </row>
    <row r="111" spans="1:21" s="33" customFormat="1" ht="28.5" customHeight="1" x14ac:dyDescent="0.45">
      <c r="A111" s="58" t="str">
        <f>$A$4</f>
        <v>Tema</v>
      </c>
      <c r="B111" s="58" t="str">
        <f t="shared" ref="B111" si="1">B4</f>
        <v>ID</v>
      </c>
      <c r="C111" s="58" t="str">
        <f>$C$4</f>
        <v>Emne</v>
      </c>
      <c r="D111" s="58" t="str">
        <f>D4</f>
        <v>DGNB kriterium</v>
      </c>
      <c r="E111" s="58" t="str">
        <f>E4</f>
        <v>Byggeudvalg eller Hovedbestyrelse</v>
      </c>
      <c r="F111" s="58" t="str">
        <f>F4</f>
        <v>Projektleder</v>
      </c>
      <c r="G111" s="58" t="str">
        <f>G4</f>
        <v>#REFERENCE!</v>
      </c>
      <c r="H111" s="58" t="str">
        <f>H4</f>
        <v>Ikon</v>
      </c>
      <c r="I111" s="58" t="str">
        <f>$I$4</f>
        <v>Spørgsmål</v>
      </c>
      <c r="J111" s="59" t="str">
        <f>$J$4</f>
        <v>Svar</v>
      </c>
      <c r="K111" s="60" t="str">
        <f>$K$4</f>
        <v>Uddybende kommentarer</v>
      </c>
      <c r="L111" s="32"/>
      <c r="M111" s="32"/>
      <c r="N111" s="32"/>
      <c r="O111" s="32"/>
      <c r="P111" s="32"/>
      <c r="Q111" s="32"/>
      <c r="R111" s="32"/>
      <c r="S111" s="32"/>
      <c r="T111" s="32"/>
      <c r="U111" s="32"/>
    </row>
    <row r="112" spans="1:21" s="33" customFormat="1" ht="28.5" customHeight="1" x14ac:dyDescent="0.45">
      <c r="A112" s="274" t="str">
        <f>Arbejdsark!$A$378</f>
        <v>Personsikkerhed</v>
      </c>
      <c r="B112" s="274">
        <v>1</v>
      </c>
      <c r="C112" s="274"/>
      <c r="D112" s="274"/>
      <c r="E112" s="274"/>
      <c r="F112" s="274"/>
      <c r="G112" s="274"/>
      <c r="H112" s="274"/>
      <c r="I112" s="275" t="str">
        <f>IF('Sortering af spørgsmål'!$C$23=Projektforudsætninger!$C$21,"Udfyld spørgsmål","Ingen spørgsmål")</f>
        <v>Ingen spørgsmål</v>
      </c>
      <c r="J112" s="276"/>
      <c r="K112" s="277"/>
      <c r="L112" s="32"/>
      <c r="M112" s="32"/>
      <c r="N112" s="32"/>
      <c r="O112" s="32"/>
      <c r="P112" s="32"/>
      <c r="Q112" s="32"/>
      <c r="R112" s="32"/>
      <c r="S112" s="32"/>
      <c r="T112" s="32"/>
      <c r="U112" s="32"/>
    </row>
    <row r="113" spans="1:21" ht="113.65" customHeight="1" x14ac:dyDescent="0.45">
      <c r="A113" s="58" t="str">
        <f>Arbejdsark!$A$378</f>
        <v>Personsikkerhed</v>
      </c>
      <c r="B113" s="43" t="str">
        <f>Arbejdsark!$B$378</f>
        <v>1.1</v>
      </c>
      <c r="C113" s="45" t="str">
        <f>IF('Sortering af spørgsmål'!$C$23=Projektforudsætninger!$C$21,Arbejdsark!$C$378,"")</f>
        <v/>
      </c>
      <c r="D113" s="46">
        <f>Arbejdsark!D120</f>
        <v>0</v>
      </c>
      <c r="E113" s="45">
        <f>Arbejdsark!I120</f>
        <v>0</v>
      </c>
      <c r="F113" s="45">
        <f>Arbejdsark!J120</f>
        <v>0</v>
      </c>
      <c r="G113" s="45" t="e">
        <f>Arbejdsark!#REF!</f>
        <v>#REF!</v>
      </c>
      <c r="H113" s="45" t="e">
        <f>Arbejdsark!#REF!</f>
        <v>#REF!</v>
      </c>
      <c r="I113" s="45" t="str">
        <f>IF('Sortering af spørgsmål'!$C$23=Projektforudsætninger!$C$21,Arbejdsark!$K$378,"")</f>
        <v/>
      </c>
      <c r="J113" s="37" t="s">
        <v>9</v>
      </c>
      <c r="K113" s="41"/>
      <c r="L113" s="19"/>
      <c r="M113" s="19"/>
      <c r="N113" s="19"/>
      <c r="O113" s="19"/>
      <c r="P113" s="19"/>
      <c r="Q113" s="19"/>
      <c r="R113" s="19"/>
      <c r="S113" s="19"/>
      <c r="T113" s="19"/>
      <c r="U113" s="19"/>
    </row>
    <row r="114" spans="1:21" ht="113.65" customHeight="1" x14ac:dyDescent="0.45">
      <c r="A114" s="58" t="str">
        <f>Arbejdsark!$A$378</f>
        <v>Personsikkerhed</v>
      </c>
      <c r="B114" s="43" t="str">
        <f>Arbejdsark!$B$383</f>
        <v>1.2</v>
      </c>
      <c r="C114" s="45" t="str">
        <f>IF('Sortering af spørgsmål'!$C$23=Projektforudsætninger!$C$21,Arbejdsark!$C$383,"")</f>
        <v/>
      </c>
      <c r="D114" s="46"/>
      <c r="E114" s="45"/>
      <c r="F114" s="45"/>
      <c r="G114" s="45"/>
      <c r="H114" s="45"/>
      <c r="I114" s="45" t="str">
        <f>IF('Sortering af spørgsmål'!$C$23=Projektforudsætninger!$C$21,Arbejdsark!$K$383,"")</f>
        <v/>
      </c>
      <c r="J114" s="37" t="s">
        <v>9</v>
      </c>
      <c r="K114" s="650"/>
      <c r="L114" s="19"/>
      <c r="M114" s="19"/>
      <c r="N114" s="19"/>
      <c r="O114" s="19"/>
      <c r="P114" s="19"/>
      <c r="Q114" s="19"/>
      <c r="R114" s="19"/>
      <c r="S114" s="19"/>
      <c r="T114" s="19"/>
      <c r="U114" s="19"/>
    </row>
    <row r="115" spans="1:21" x14ac:dyDescent="0.45">
      <c r="A115" s="45"/>
      <c r="B115" s="45"/>
      <c r="C115" s="45"/>
      <c r="D115" s="46"/>
      <c r="E115" s="45"/>
      <c r="F115" s="45"/>
      <c r="G115" s="45"/>
      <c r="H115" s="45"/>
      <c r="I115" s="45"/>
      <c r="J115" s="47"/>
      <c r="K115" s="48"/>
      <c r="L115" s="19"/>
      <c r="M115" s="19"/>
      <c r="N115" s="19"/>
      <c r="O115" s="19"/>
      <c r="P115" s="19"/>
      <c r="Q115" s="19"/>
      <c r="R115" s="19"/>
      <c r="S115" s="19"/>
      <c r="T115" s="19"/>
      <c r="U115" s="19"/>
    </row>
    <row r="116" spans="1:21" ht="28.5" customHeight="1" x14ac:dyDescent="0.45">
      <c r="A116" s="274" t="str">
        <f>Arbejdsark!$A$388</f>
        <v>Klimaskærmens kvalitet</v>
      </c>
      <c r="B116" s="274">
        <v>2</v>
      </c>
      <c r="C116" s="274"/>
      <c r="D116" s="274"/>
      <c r="E116" s="274"/>
      <c r="F116" s="274"/>
      <c r="G116" s="274"/>
      <c r="H116" s="274"/>
      <c r="I116" s="275" t="str">
        <f>IF('Sortering af spørgsmål'!$C$24=Projektforudsætninger!$C$21,"Udfyld spørgsmål","Ingen spørgsmål")</f>
        <v>Ingen spørgsmål</v>
      </c>
      <c r="J116" s="276"/>
      <c r="K116" s="277"/>
      <c r="L116" s="19"/>
      <c r="M116" s="19"/>
      <c r="N116" s="19"/>
      <c r="O116" s="19"/>
      <c r="P116" s="19"/>
      <c r="Q116" s="19"/>
      <c r="R116" s="19"/>
      <c r="S116" s="19"/>
      <c r="T116" s="19"/>
      <c r="U116" s="19"/>
    </row>
    <row r="117" spans="1:21" ht="113.65" customHeight="1" x14ac:dyDescent="0.45">
      <c r="A117" s="45" t="str">
        <f>Arbejdsark!$A$388</f>
        <v>Klimaskærmens kvalitet</v>
      </c>
      <c r="B117" s="43" t="str">
        <f>Arbejdsark!$B$388</f>
        <v>2.1</v>
      </c>
      <c r="C117" s="45" t="str">
        <f>IF('Sortering af spørgsmål'!$C$24=Projektforudsætninger!$C$21,Arbejdsark!$C$388,"")</f>
        <v/>
      </c>
      <c r="D117" s="46">
        <f>Arbejdsark!D125</f>
        <v>0</v>
      </c>
      <c r="E117" s="45">
        <f>Arbejdsark!I125</f>
        <v>0</v>
      </c>
      <c r="F117" s="45">
        <f>Arbejdsark!J125</f>
        <v>0</v>
      </c>
      <c r="G117" s="45" t="e">
        <f>Arbejdsark!#REF!</f>
        <v>#REF!</v>
      </c>
      <c r="H117" s="45" t="e">
        <f>Arbejdsark!#REF!</f>
        <v>#REF!</v>
      </c>
      <c r="I117" s="45" t="str">
        <f>IF('Sortering af spørgsmål'!$C$24=Projektforudsætninger!$C$21,Arbejdsark!$K$388,"")</f>
        <v/>
      </c>
      <c r="J117" s="37" t="s">
        <v>9</v>
      </c>
      <c r="K117" s="41"/>
      <c r="L117" s="19"/>
      <c r="M117" s="19"/>
      <c r="N117" s="19"/>
      <c r="O117" s="19"/>
      <c r="P117" s="19"/>
      <c r="Q117" s="19"/>
      <c r="R117" s="19"/>
      <c r="S117" s="19"/>
      <c r="T117" s="19"/>
      <c r="U117" s="19"/>
    </row>
    <row r="118" spans="1:21" ht="113.65" customHeight="1" x14ac:dyDescent="0.45">
      <c r="A118" s="45" t="str">
        <f>Arbejdsark!$A$388</f>
        <v>Klimaskærmens kvalitet</v>
      </c>
      <c r="B118" s="43" t="str">
        <f>Arbejdsark!$B$393</f>
        <v>2.2</v>
      </c>
      <c r="C118" s="45" t="str">
        <f>IF('Sortering af spørgsmål'!$C$24=Projektforudsætninger!$C$21,Arbejdsark!$C$393,"")</f>
        <v/>
      </c>
      <c r="D118" s="46">
        <f>Arbejdsark!D126</f>
        <v>0</v>
      </c>
      <c r="E118" s="45">
        <f>Arbejdsark!I126</f>
        <v>0</v>
      </c>
      <c r="F118" s="45">
        <f>Arbejdsark!J126</f>
        <v>0</v>
      </c>
      <c r="G118" s="45" t="e">
        <f>Arbejdsark!#REF!</f>
        <v>#REF!</v>
      </c>
      <c r="H118" s="45" t="e">
        <f>Arbejdsark!#REF!</f>
        <v>#REF!</v>
      </c>
      <c r="I118" s="45" t="str">
        <f>IF('Sortering af spørgsmål'!$C$24=Projektforudsætninger!$C$21,Arbejdsark!$K$393,"")</f>
        <v/>
      </c>
      <c r="J118" s="37" t="s">
        <v>9</v>
      </c>
      <c r="K118" s="41"/>
      <c r="L118" s="19"/>
      <c r="M118" s="19"/>
      <c r="N118" s="19"/>
      <c r="O118" s="19"/>
      <c r="P118" s="19"/>
      <c r="Q118" s="19"/>
      <c r="R118" s="19"/>
      <c r="S118" s="19"/>
      <c r="T118" s="19"/>
      <c r="U118" s="19"/>
    </row>
    <row r="119" spans="1:21" ht="113.65" customHeight="1" x14ac:dyDescent="0.45">
      <c r="A119" s="45" t="str">
        <f>Arbejdsark!$A$388</f>
        <v>Klimaskærmens kvalitet</v>
      </c>
      <c r="B119" s="43" t="str">
        <f>Arbejdsark!$B$398</f>
        <v>2.3</v>
      </c>
      <c r="C119" s="45" t="str">
        <f>IF('Sortering af spørgsmål'!$C$24=Projektforudsætninger!$C$21,Arbejdsark!$C$398,"")</f>
        <v/>
      </c>
      <c r="D119" s="46">
        <f>Arbejdsark!D127</f>
        <v>0</v>
      </c>
      <c r="E119" s="45">
        <f>Arbejdsark!I127</f>
        <v>0</v>
      </c>
      <c r="F119" s="45">
        <f>Arbejdsark!J127</f>
        <v>0</v>
      </c>
      <c r="G119" s="45" t="e">
        <f>Arbejdsark!#REF!</f>
        <v>#REF!</v>
      </c>
      <c r="H119" s="45" t="e">
        <f>Arbejdsark!#REF!</f>
        <v>#REF!</v>
      </c>
      <c r="I119" s="45" t="str">
        <f>IF('Sortering af spørgsmål'!$C$24=Projektforudsætninger!$C$21,Arbejdsark!$K$398,"")</f>
        <v/>
      </c>
      <c r="J119" s="37" t="s">
        <v>9</v>
      </c>
      <c r="K119" s="41"/>
      <c r="L119" s="19"/>
      <c r="M119" s="19"/>
      <c r="N119" s="19"/>
      <c r="O119" s="19"/>
      <c r="P119" s="19"/>
      <c r="Q119" s="19"/>
      <c r="R119" s="19"/>
      <c r="S119" s="19"/>
      <c r="T119" s="19"/>
      <c r="U119" s="19"/>
    </row>
    <row r="120" spans="1:21" ht="141.75" customHeight="1" x14ac:dyDescent="0.45">
      <c r="A120" s="45" t="str">
        <f>Arbejdsark!$A$388</f>
        <v>Klimaskærmens kvalitet</v>
      </c>
      <c r="B120" s="43" t="str">
        <f>Arbejdsark!$B$403</f>
        <v>2.4</v>
      </c>
      <c r="C120" s="45" t="str">
        <f>IF('Sortering af spørgsmål'!$C$24=Projektforudsætninger!$C$21,Arbejdsark!$C$403,"")</f>
        <v/>
      </c>
      <c r="D120" s="46">
        <f>Arbejdsark!D128</f>
        <v>0</v>
      </c>
      <c r="E120" s="45">
        <f>Arbejdsark!I128</f>
        <v>0</v>
      </c>
      <c r="F120" s="45">
        <f>Arbejdsark!J128</f>
        <v>0</v>
      </c>
      <c r="G120" s="45" t="e">
        <f>Arbejdsark!#REF!</f>
        <v>#REF!</v>
      </c>
      <c r="H120" s="45" t="e">
        <f>Arbejdsark!#REF!</f>
        <v>#REF!</v>
      </c>
      <c r="I120" s="45" t="str">
        <f>IF('Sortering af spørgsmål'!$C$24=Projektforudsætninger!$C$21,Arbejdsark!$K$403,"")</f>
        <v/>
      </c>
      <c r="J120" s="37" t="s">
        <v>9</v>
      </c>
      <c r="K120" s="41"/>
      <c r="L120" s="19"/>
      <c r="M120" s="19"/>
      <c r="N120" s="19"/>
      <c r="O120" s="19"/>
      <c r="P120" s="19"/>
      <c r="Q120" s="19"/>
      <c r="R120" s="19"/>
      <c r="S120" s="19"/>
      <c r="T120" s="19"/>
      <c r="U120" s="19"/>
    </row>
    <row r="121" spans="1:21" ht="113.65" customHeight="1" x14ac:dyDescent="0.45">
      <c r="A121" s="45" t="str">
        <f>Arbejdsark!$A$388</f>
        <v>Klimaskærmens kvalitet</v>
      </c>
      <c r="B121" s="43" t="str">
        <f>Arbejdsark!$B$408</f>
        <v>2.5</v>
      </c>
      <c r="C121" s="45" t="str">
        <f>IF('Sortering af spørgsmål'!$C$24=Projektforudsætninger!$C$21,Arbejdsark!$C$408,"")</f>
        <v/>
      </c>
      <c r="D121" s="46"/>
      <c r="E121" s="45"/>
      <c r="F121" s="45"/>
      <c r="G121" s="45"/>
      <c r="H121" s="45"/>
      <c r="I121" s="45" t="str">
        <f>IF('Sortering af spørgsmål'!$C$24=Projektforudsætninger!$C$21,Arbejdsark!$K$408,"")</f>
        <v/>
      </c>
      <c r="J121" s="37" t="s">
        <v>9</v>
      </c>
      <c r="K121" s="41"/>
      <c r="L121" s="19"/>
      <c r="M121" s="19"/>
      <c r="N121" s="19"/>
      <c r="O121" s="19"/>
      <c r="P121" s="19"/>
      <c r="Q121" s="19"/>
      <c r="R121" s="19"/>
      <c r="S121" s="19"/>
      <c r="T121" s="19"/>
      <c r="U121" s="19"/>
    </row>
    <row r="122" spans="1:21" ht="113.65" customHeight="1" x14ac:dyDescent="0.45">
      <c r="A122" s="45" t="str">
        <f>Arbejdsark!$A$388</f>
        <v>Klimaskærmens kvalitet</v>
      </c>
      <c r="B122" s="43" t="str">
        <f>Arbejdsark!$B$413</f>
        <v>2.6</v>
      </c>
      <c r="C122" s="45" t="str">
        <f>IF('Sortering af spørgsmål'!$C$24=Projektforudsætninger!$C$21,Arbejdsark!$C$413,"")</f>
        <v/>
      </c>
      <c r="D122" s="46" t="str">
        <f>Arbejdsark!D129</f>
        <v>ECO2.1
Vægtning: ECO2.1 pkt 5</v>
      </c>
      <c r="E122" s="45" t="str">
        <f>Arbejdsark!I129</f>
        <v>x</v>
      </c>
      <c r="F122" s="45">
        <f>Arbejdsark!J129</f>
        <v>0</v>
      </c>
      <c r="G122" s="45" t="e">
        <f>Arbejdsark!#REF!</f>
        <v>#REF!</v>
      </c>
      <c r="H122" s="45" t="e">
        <f>Arbejdsark!#REF!</f>
        <v>#REF!</v>
      </c>
      <c r="I122" s="45" t="str">
        <f>IF('Sortering af spørgsmål'!$C$24=Projektforudsætninger!$C$21,Arbejdsark!$K$413,"")</f>
        <v/>
      </c>
      <c r="J122" s="37" t="s">
        <v>9</v>
      </c>
      <c r="K122" s="41"/>
      <c r="L122" s="19"/>
      <c r="M122" s="19"/>
      <c r="N122" s="19"/>
      <c r="O122" s="19"/>
      <c r="P122" s="19"/>
      <c r="Q122" s="19"/>
      <c r="R122" s="19"/>
      <c r="S122" s="19"/>
      <c r="T122" s="19"/>
      <c r="U122" s="19"/>
    </row>
    <row r="123" spans="1:21" ht="113.65" customHeight="1" x14ac:dyDescent="0.45">
      <c r="A123" s="45" t="str">
        <f>Arbejdsark!$A$388</f>
        <v>Klimaskærmens kvalitet</v>
      </c>
      <c r="B123" s="43" t="str">
        <f>Arbejdsark!$B$418</f>
        <v>2.7</v>
      </c>
      <c r="C123" s="45" t="str">
        <f>IF('Sortering af spørgsmål'!$C$24=Projektforudsætninger!$C$21,Arbejdsark!$C$418,"")</f>
        <v/>
      </c>
      <c r="D123" s="46">
        <f>Arbejdsark!D130</f>
        <v>0</v>
      </c>
      <c r="E123" s="45">
        <f>Arbejdsark!I130</f>
        <v>0</v>
      </c>
      <c r="F123" s="45">
        <f>Arbejdsark!J130</f>
        <v>0</v>
      </c>
      <c r="G123" s="45" t="e">
        <f>Arbejdsark!#REF!</f>
        <v>#REF!</v>
      </c>
      <c r="H123" s="45" t="e">
        <f>Arbejdsark!#REF!</f>
        <v>#REF!</v>
      </c>
      <c r="I123" s="45" t="str">
        <f>IF('Sortering af spørgsmål'!$C$24=Projektforudsætninger!$C$21,Arbejdsark!$K$418,"")</f>
        <v/>
      </c>
      <c r="J123" s="37" t="s">
        <v>9</v>
      </c>
      <c r="K123" s="41"/>
      <c r="L123" s="19"/>
      <c r="M123" s="19"/>
      <c r="N123" s="19"/>
      <c r="O123" s="19"/>
      <c r="P123" s="19"/>
      <c r="Q123" s="19"/>
      <c r="R123" s="19"/>
      <c r="S123" s="19"/>
      <c r="T123" s="19"/>
      <c r="U123" s="19"/>
    </row>
    <row r="124" spans="1:21" x14ac:dyDescent="0.45">
      <c r="A124" s="45"/>
      <c r="B124" s="45"/>
      <c r="C124" s="45"/>
      <c r="D124" s="46"/>
      <c r="E124" s="45"/>
      <c r="F124" s="45"/>
      <c r="G124" s="45"/>
      <c r="H124" s="45"/>
      <c r="I124" s="45"/>
      <c r="J124" s="47"/>
      <c r="K124" s="48"/>
      <c r="L124" s="19"/>
      <c r="M124" s="19"/>
      <c r="N124" s="19"/>
      <c r="O124" s="19"/>
      <c r="P124" s="19"/>
      <c r="Q124" s="19"/>
      <c r="R124" s="19"/>
      <c r="S124" s="19"/>
      <c r="T124" s="19"/>
      <c r="U124" s="19"/>
    </row>
    <row r="125" spans="1:21" ht="28.5" customHeight="1" x14ac:dyDescent="0.45">
      <c r="A125" s="274" t="str">
        <f>Arbejdsark!$A$424</f>
        <v>Renhold og vedligehold</v>
      </c>
      <c r="B125" s="274">
        <v>3</v>
      </c>
      <c r="C125" s="274"/>
      <c r="D125" s="274"/>
      <c r="E125" s="274"/>
      <c r="F125" s="274"/>
      <c r="G125" s="274"/>
      <c r="H125" s="274"/>
      <c r="I125" s="275" t="str">
        <f>IF('Sortering af spørgsmål'!$C$25=Projektforudsætninger!$C$21,"Udfyld spørgsmål","Ingen spørgsmål")</f>
        <v>Ingen spørgsmål</v>
      </c>
      <c r="J125" s="276"/>
      <c r="K125" s="277"/>
      <c r="L125" s="19"/>
      <c r="M125" s="19"/>
      <c r="N125" s="19"/>
      <c r="O125" s="19"/>
      <c r="P125" s="19"/>
      <c r="Q125" s="19"/>
      <c r="R125" s="19"/>
      <c r="S125" s="19"/>
      <c r="T125" s="19"/>
      <c r="U125" s="19"/>
    </row>
    <row r="126" spans="1:21" ht="113.65" customHeight="1" x14ac:dyDescent="0.45">
      <c r="A126" s="45" t="str">
        <f>Arbejdsark!$A$424</f>
        <v>Renhold og vedligehold</v>
      </c>
      <c r="B126" s="43" t="str">
        <f>Arbejdsark!$B$424</f>
        <v>3.1</v>
      </c>
      <c r="C126" s="45" t="str">
        <f>IF('Sortering af spørgsmål'!$C$25=Projektforudsætninger!$C$21,Arbejdsark!$C$424,"")</f>
        <v/>
      </c>
      <c r="D126" s="46" t="str">
        <f>Arbejdsark!D134</f>
        <v>ECO2.1
Vægtning: 75% af ECO2.1 pkt 6</v>
      </c>
      <c r="E126" s="45" t="str">
        <f>Arbejdsark!I134</f>
        <v>x</v>
      </c>
      <c r="F126" s="45">
        <f>Arbejdsark!J134</f>
        <v>0</v>
      </c>
      <c r="G126" s="45" t="e">
        <f>Arbejdsark!#REF!</f>
        <v>#REF!</v>
      </c>
      <c r="H126" s="45" t="e">
        <f>Arbejdsark!#REF!</f>
        <v>#REF!</v>
      </c>
      <c r="I126" s="45" t="str">
        <f>IF('Sortering af spørgsmål'!$C$25=Projektforudsætninger!$C$21,Arbejdsark!$K$424,"")</f>
        <v/>
      </c>
      <c r="J126" s="37" t="s">
        <v>9</v>
      </c>
      <c r="K126" s="41"/>
      <c r="L126" s="19"/>
      <c r="M126" s="19"/>
      <c r="N126" s="19"/>
      <c r="O126" s="19"/>
      <c r="P126" s="19"/>
      <c r="Q126" s="19"/>
      <c r="R126" s="19"/>
      <c r="S126" s="19"/>
      <c r="T126" s="19"/>
      <c r="U126" s="19"/>
    </row>
    <row r="127" spans="1:21" ht="113.65" customHeight="1" x14ac:dyDescent="0.45">
      <c r="A127" s="45" t="str">
        <f>Arbejdsark!$A$424</f>
        <v>Renhold og vedligehold</v>
      </c>
      <c r="B127" s="43" t="str">
        <f>Arbejdsark!$B$429</f>
        <v>3.2</v>
      </c>
      <c r="C127" s="45" t="str">
        <f>IF('Sortering af spørgsmål'!$C$25=Projektforudsætninger!$C$21,Arbejdsark!$C$429,"")</f>
        <v/>
      </c>
      <c r="D127" s="46">
        <f>Arbejdsark!D135</f>
        <v>0</v>
      </c>
      <c r="E127" s="45">
        <f>Arbejdsark!I135</f>
        <v>0</v>
      </c>
      <c r="F127" s="45">
        <f>Arbejdsark!J135</f>
        <v>0</v>
      </c>
      <c r="G127" s="45" t="e">
        <f>Arbejdsark!#REF!</f>
        <v>#REF!</v>
      </c>
      <c r="H127" s="45" t="e">
        <f>Arbejdsark!#REF!</f>
        <v>#REF!</v>
      </c>
      <c r="I127" s="45" t="str">
        <f>IF('Sortering af spørgsmål'!$C$25=Projektforudsætninger!$C$21,Arbejdsark!$K$429,"")</f>
        <v/>
      </c>
      <c r="J127" s="37" t="s">
        <v>9</v>
      </c>
      <c r="K127" s="41"/>
      <c r="L127" s="19"/>
      <c r="M127" s="19"/>
      <c r="N127" s="19"/>
      <c r="O127" s="19"/>
      <c r="P127" s="19"/>
      <c r="Q127" s="19"/>
      <c r="R127" s="19"/>
      <c r="S127" s="19"/>
      <c r="T127" s="19"/>
      <c r="U127" s="19"/>
    </row>
    <row r="128" spans="1:21" ht="170.25" customHeight="1" x14ac:dyDescent="0.45">
      <c r="A128" s="45" t="str">
        <f>Arbejdsark!$A$424</f>
        <v>Renhold og vedligehold</v>
      </c>
      <c r="B128" s="43" t="str">
        <f>Arbejdsark!$B$434</f>
        <v>3.3</v>
      </c>
      <c r="C128" s="45" t="str">
        <f>IF('Sortering af spørgsmål'!$C$25=Projektforudsætninger!$C$21,Arbejdsark!$C$434,"")</f>
        <v/>
      </c>
      <c r="D128" s="46">
        <f>Arbejdsark!D136</f>
        <v>0</v>
      </c>
      <c r="E128" s="45">
        <f>Arbejdsark!I136</f>
        <v>0</v>
      </c>
      <c r="F128" s="45">
        <f>Arbejdsark!J136</f>
        <v>0</v>
      </c>
      <c r="G128" s="45" t="e">
        <f>Arbejdsark!#REF!</f>
        <v>#REF!</v>
      </c>
      <c r="H128" s="45" t="e">
        <f>Arbejdsark!#REF!</f>
        <v>#REF!</v>
      </c>
      <c r="I128" s="45" t="str">
        <f>IF('Sortering af spørgsmål'!$C$25=Projektforudsætninger!$C$21,Arbejdsark!$K$434,"")</f>
        <v/>
      </c>
      <c r="J128" s="37" t="s">
        <v>9</v>
      </c>
      <c r="K128" s="41"/>
      <c r="L128" s="19"/>
      <c r="M128" s="19"/>
      <c r="N128" s="19"/>
      <c r="O128" s="19"/>
      <c r="P128" s="19"/>
      <c r="Q128" s="19"/>
      <c r="R128" s="19"/>
      <c r="S128" s="19"/>
      <c r="T128" s="19"/>
      <c r="U128" s="19"/>
    </row>
    <row r="129" spans="1:21" ht="113.65" customHeight="1" x14ac:dyDescent="0.45">
      <c r="A129" s="45" t="str">
        <f>Arbejdsark!$A$424</f>
        <v>Renhold og vedligehold</v>
      </c>
      <c r="B129" s="43" t="str">
        <f>Arbejdsark!$B$439</f>
        <v>3.4</v>
      </c>
      <c r="C129" s="45" t="str">
        <f>IF('Sortering af spørgsmål'!$C$25=Projektforudsætninger!$C$21,Arbejdsark!$C$439,"")</f>
        <v/>
      </c>
      <c r="D129" s="46">
        <f>Arbejdsark!D137</f>
        <v>0</v>
      </c>
      <c r="E129" s="45">
        <f>Arbejdsark!I137</f>
        <v>0</v>
      </c>
      <c r="F129" s="45">
        <f>Arbejdsark!J137</f>
        <v>0</v>
      </c>
      <c r="G129" s="45" t="e">
        <f>Arbejdsark!#REF!</f>
        <v>#REF!</v>
      </c>
      <c r="H129" s="45" t="e">
        <f>Arbejdsark!#REF!</f>
        <v>#REF!</v>
      </c>
      <c r="I129" s="45" t="str">
        <f>IF('Sortering af spørgsmål'!$C$25=Projektforudsætninger!$C$21,Arbejdsark!$K$439,"")</f>
        <v/>
      </c>
      <c r="J129" s="37" t="s">
        <v>9</v>
      </c>
      <c r="K129" s="41"/>
      <c r="L129" s="19"/>
      <c r="M129" s="19"/>
      <c r="N129" s="19"/>
      <c r="O129" s="19"/>
      <c r="P129" s="19"/>
      <c r="Q129" s="19"/>
      <c r="R129" s="19"/>
      <c r="S129" s="19"/>
      <c r="T129" s="19"/>
      <c r="U129" s="19"/>
    </row>
    <row r="130" spans="1:21" ht="141.75" customHeight="1" x14ac:dyDescent="0.45">
      <c r="A130" s="45" t="str">
        <f>Arbejdsark!$A$424</f>
        <v>Renhold og vedligehold</v>
      </c>
      <c r="B130" s="43" t="str">
        <f>Arbejdsark!$B$444</f>
        <v>3.5</v>
      </c>
      <c r="C130" s="45" t="str">
        <f>IF('Sortering af spørgsmål'!$C$25=Projektforudsætninger!$C$21,Arbejdsark!$C$444,"")</f>
        <v/>
      </c>
      <c r="D130" s="46">
        <f>Arbejdsark!D138</f>
        <v>0</v>
      </c>
      <c r="E130" s="45">
        <f>Arbejdsark!I138</f>
        <v>0</v>
      </c>
      <c r="F130" s="45">
        <f>Arbejdsark!J138</f>
        <v>0</v>
      </c>
      <c r="G130" s="45" t="e">
        <f>Arbejdsark!#REF!</f>
        <v>#REF!</v>
      </c>
      <c r="H130" s="45" t="e">
        <f>Arbejdsark!#REF!</f>
        <v>#REF!</v>
      </c>
      <c r="I130" s="45" t="str">
        <f>IF('Sortering af spørgsmål'!$C$25=Projektforudsætninger!$C$21,Arbejdsark!$K$444,"")</f>
        <v/>
      </c>
      <c r="J130" s="37" t="s">
        <v>9</v>
      </c>
      <c r="K130" s="41"/>
      <c r="L130" s="19"/>
      <c r="M130" s="19"/>
      <c r="N130" s="19"/>
      <c r="O130" s="19"/>
      <c r="P130" s="19"/>
      <c r="Q130" s="19"/>
      <c r="R130" s="19"/>
      <c r="S130" s="19"/>
      <c r="T130" s="19"/>
      <c r="U130" s="19"/>
    </row>
    <row r="131" spans="1:21" ht="113.65" customHeight="1" x14ac:dyDescent="0.45">
      <c r="A131" s="45" t="str">
        <f>Arbejdsark!$A$424</f>
        <v>Renhold og vedligehold</v>
      </c>
      <c r="B131" s="43" t="str">
        <f>Arbejdsark!$B$449</f>
        <v>3.6</v>
      </c>
      <c r="C131" s="45" t="str">
        <f>IF('Sortering af spørgsmål'!$C$25=Projektforudsætninger!$C$21,Arbejdsark!$C$449,"")</f>
        <v/>
      </c>
      <c r="D131" s="46" t="str">
        <f>Arbejdsark!D139</f>
        <v>ECO2.1 + TEC1.4
Vægtning: ECO2.1 pkt. 7.1, 7.2 og 7.3 + TEC1.4 pkt. 1.1, 1.2 og 1.3</v>
      </c>
      <c r="E131" s="45" t="str">
        <f>Arbejdsark!I139</f>
        <v>x</v>
      </c>
      <c r="F131" s="45">
        <f>Arbejdsark!J139</f>
        <v>0</v>
      </c>
      <c r="G131" s="45" t="e">
        <f>Arbejdsark!#REF!</f>
        <v>#REF!</v>
      </c>
      <c r="H131" s="45" t="e">
        <f>Arbejdsark!#REF!</f>
        <v>#REF!</v>
      </c>
      <c r="I131" s="45" t="str">
        <f>IF('Sortering af spørgsmål'!$C$25=Projektforudsætninger!$C$21,Arbejdsark!$K$449,"")</f>
        <v/>
      </c>
      <c r="J131" s="37" t="s">
        <v>9</v>
      </c>
      <c r="K131" s="41"/>
      <c r="L131" s="19"/>
      <c r="M131" s="19"/>
      <c r="N131" s="19"/>
      <c r="O131" s="19"/>
      <c r="P131" s="19"/>
      <c r="Q131" s="19"/>
      <c r="R131" s="19"/>
      <c r="S131" s="19"/>
      <c r="T131" s="19"/>
      <c r="U131" s="19"/>
    </row>
    <row r="132" spans="1:21" x14ac:dyDescent="0.45">
      <c r="A132" s="323" t="str">
        <f>Arbejdsark!A$455</f>
        <v>Idriftsættelse</v>
      </c>
      <c r="B132" s="313">
        <v>4</v>
      </c>
      <c r="C132" s="323"/>
      <c r="D132" s="323"/>
      <c r="E132" s="323"/>
      <c r="F132" s="323"/>
      <c r="G132" s="323"/>
      <c r="H132" s="323"/>
      <c r="I132" s="313" t="str">
        <f>IF('Sortering af spørgsmål'!$C$33=Projektforudsætninger!$C$21,"Udfyld spørgsmål","Ingen spørgsmål")</f>
        <v>Ingen spørgsmål</v>
      </c>
      <c r="J132" s="314"/>
      <c r="K132" s="315"/>
      <c r="L132" s="19"/>
      <c r="M132" s="19"/>
      <c r="N132" s="19"/>
      <c r="O132" s="19"/>
      <c r="P132" s="19"/>
      <c r="Q132" s="19"/>
      <c r="R132" s="19"/>
      <c r="S132" s="19"/>
      <c r="T132" s="19"/>
      <c r="U132" s="19"/>
    </row>
    <row r="133" spans="1:21" ht="113.65" customHeight="1" x14ac:dyDescent="0.45">
      <c r="A133" s="45" t="str">
        <f>Arbejdsark!A$455</f>
        <v>Idriftsættelse</v>
      </c>
      <c r="B133" s="327" t="str">
        <f>Arbejdsark!$B$455</f>
        <v>4.1</v>
      </c>
      <c r="C133" s="45" t="str">
        <f>IF('Sortering af spørgsmål'!$C$33=Projektforudsætninger!$C$21,Arbejdsark!$C$455,"")</f>
        <v/>
      </c>
      <c r="D133" s="46" t="str">
        <f>Arbejdsark!D167</f>
        <v>SOC1.1
Vægtning: SOC1.1 pkt. 1 + 4</v>
      </c>
      <c r="E133" s="45" t="str">
        <f>Arbejdsark!I167</f>
        <v>x</v>
      </c>
      <c r="F133" s="45">
        <f>Arbejdsark!J167</f>
        <v>0</v>
      </c>
      <c r="G133" s="45" t="e">
        <f>Arbejdsark!#REF!</f>
        <v>#REF!</v>
      </c>
      <c r="H133" s="45" t="e">
        <f>Arbejdsark!#REF!</f>
        <v>#REF!</v>
      </c>
      <c r="I133" s="45" t="str">
        <f>IF('Sortering af spørgsmål'!$C$33=Projektforudsætninger!$C$21,Arbejdsark!$K$455,"")</f>
        <v/>
      </c>
      <c r="J133" s="37" t="s">
        <v>9</v>
      </c>
      <c r="K133" s="41"/>
      <c r="L133" s="19"/>
      <c r="M133" s="19"/>
      <c r="N133" s="19"/>
      <c r="O133" s="19"/>
      <c r="P133" s="19"/>
      <c r="Q133" s="19"/>
      <c r="R133" s="19"/>
      <c r="S133" s="19"/>
      <c r="T133" s="19"/>
      <c r="U133" s="19"/>
    </row>
    <row r="134" spans="1:21" x14ac:dyDescent="0.45">
      <c r="A134" s="45"/>
      <c r="B134" s="319"/>
      <c r="C134" s="45"/>
      <c r="D134" s="46"/>
      <c r="E134" s="45"/>
      <c r="F134" s="45"/>
      <c r="G134" s="45"/>
      <c r="H134" s="45"/>
      <c r="I134" s="45"/>
      <c r="J134" s="47"/>
      <c r="K134" s="48"/>
      <c r="L134" s="19"/>
      <c r="M134" s="19"/>
      <c r="N134" s="19"/>
      <c r="O134" s="19"/>
      <c r="P134" s="19"/>
      <c r="Q134" s="19"/>
      <c r="R134" s="19"/>
      <c r="S134" s="19"/>
      <c r="T134" s="19"/>
      <c r="U134" s="19"/>
    </row>
    <row r="135" spans="1:21" s="33" customFormat="1" ht="28.5" customHeight="1" x14ac:dyDescent="0.45">
      <c r="A135" s="62" t="str">
        <f>Arbejdsark!$A$460</f>
        <v>PROCES KVALITET</v>
      </c>
      <c r="B135" s="329"/>
      <c r="C135" s="62"/>
      <c r="D135" s="62"/>
      <c r="E135" s="62"/>
      <c r="F135" s="62"/>
      <c r="G135" s="62"/>
      <c r="H135" s="62"/>
      <c r="I135" s="63"/>
      <c r="J135" s="64"/>
      <c r="K135" s="65"/>
      <c r="L135" s="32"/>
      <c r="M135" s="32"/>
      <c r="N135" s="32"/>
      <c r="O135" s="32"/>
      <c r="P135" s="32"/>
      <c r="Q135" s="32"/>
      <c r="R135" s="32"/>
      <c r="S135" s="32"/>
      <c r="T135" s="32"/>
      <c r="U135" s="32"/>
    </row>
    <row r="136" spans="1:21" s="33" customFormat="1" ht="28.5" customHeight="1" x14ac:dyDescent="0.45">
      <c r="A136" s="58" t="str">
        <f>$A$4</f>
        <v>Tema</v>
      </c>
      <c r="B136" s="319" t="str">
        <f>B4</f>
        <v>ID</v>
      </c>
      <c r="C136" s="58" t="str">
        <f>$C$4</f>
        <v>Emne</v>
      </c>
      <c r="D136" s="58" t="str">
        <f t="shared" ref="D136:U136" si="2">D4</f>
        <v>DGNB kriterium</v>
      </c>
      <c r="E136" s="58" t="str">
        <f t="shared" si="2"/>
        <v>Byggeudvalg eller Hovedbestyrelse</v>
      </c>
      <c r="F136" s="58" t="str">
        <f t="shared" si="2"/>
        <v>Projektleder</v>
      </c>
      <c r="G136" s="58" t="str">
        <f t="shared" si="2"/>
        <v>#REFERENCE!</v>
      </c>
      <c r="H136" s="58" t="str">
        <f t="shared" si="2"/>
        <v>Ikon</v>
      </c>
      <c r="I136" s="58" t="str">
        <f>$I$4</f>
        <v>Spørgsmål</v>
      </c>
      <c r="J136" s="59" t="str">
        <f>$J$4</f>
        <v>Svar</v>
      </c>
      <c r="K136" s="60" t="str">
        <f>$K$4</f>
        <v>Uddybende kommentarer</v>
      </c>
      <c r="L136" s="27">
        <f t="shared" si="2"/>
        <v>0</v>
      </c>
      <c r="M136" s="27">
        <f t="shared" si="2"/>
        <v>0</v>
      </c>
      <c r="N136" s="27">
        <f t="shared" si="2"/>
        <v>0</v>
      </c>
      <c r="O136" s="27">
        <f t="shared" si="2"/>
        <v>0</v>
      </c>
      <c r="P136" s="27">
        <f t="shared" si="2"/>
        <v>0</v>
      </c>
      <c r="Q136" s="27">
        <f t="shared" si="2"/>
        <v>0</v>
      </c>
      <c r="R136" s="27">
        <f t="shared" si="2"/>
        <v>0</v>
      </c>
      <c r="S136" s="27">
        <f t="shared" si="2"/>
        <v>0</v>
      </c>
      <c r="T136" s="27">
        <f t="shared" si="2"/>
        <v>0</v>
      </c>
      <c r="U136" s="27">
        <f t="shared" si="2"/>
        <v>0</v>
      </c>
    </row>
    <row r="137" spans="1:21" s="33" customFormat="1" ht="28.5" customHeight="1" x14ac:dyDescent="0.45">
      <c r="A137" s="62" t="str">
        <f>Arbejdsark!$A$462</f>
        <v>Byggeprogram</v>
      </c>
      <c r="B137" s="329">
        <v>1</v>
      </c>
      <c r="C137" s="62"/>
      <c r="D137" s="62"/>
      <c r="E137" s="62"/>
      <c r="F137" s="62"/>
      <c r="G137" s="62"/>
      <c r="H137" s="62"/>
      <c r="I137" s="63" t="str">
        <f>IF('Sortering af spørgsmål'!$C$26=Projektforudsætninger!$C$21,"Udfyld spørgsmål","Ingen spørgsmål")</f>
        <v>Ingen spørgsmål</v>
      </c>
      <c r="J137" s="64"/>
      <c r="K137" s="65"/>
      <c r="L137" s="140"/>
      <c r="M137" s="140"/>
      <c r="N137" s="140"/>
      <c r="O137" s="140"/>
      <c r="P137" s="140"/>
      <c r="Q137" s="140"/>
      <c r="R137" s="140"/>
      <c r="S137" s="140"/>
      <c r="T137" s="140"/>
      <c r="U137" s="140"/>
    </row>
    <row r="138" spans="1:21" ht="113.65" customHeight="1" x14ac:dyDescent="0.45">
      <c r="A138" s="58" t="str">
        <f>Arbejdsark!$A$462</f>
        <v>Byggeprogram</v>
      </c>
      <c r="B138" s="327" t="str">
        <f>Arbejdsark!$B$462</f>
        <v>1.1</v>
      </c>
      <c r="C138" s="45" t="str">
        <f>IF('Sortering af spørgsmål'!$C$26=Projektforudsætninger!$C$21,Arbejdsark!$C$462,"")</f>
        <v/>
      </c>
      <c r="D138" s="46">
        <f>Arbejdsark!D145</f>
        <v>0</v>
      </c>
      <c r="E138" s="45">
        <f>Arbejdsark!I145</f>
        <v>0</v>
      </c>
      <c r="F138" s="45">
        <f>Arbejdsark!J145</f>
        <v>0</v>
      </c>
      <c r="G138" s="45" t="e">
        <f>Arbejdsark!#REF!</f>
        <v>#REF!</v>
      </c>
      <c r="H138" s="45" t="e">
        <f>Arbejdsark!#REF!</f>
        <v>#REF!</v>
      </c>
      <c r="I138" s="45" t="str">
        <f>IF('Sortering af spørgsmål'!$C$26=Projektforudsætninger!$C$21,Arbejdsark!$K$462,"")</f>
        <v/>
      </c>
      <c r="J138" s="37" t="s">
        <v>9</v>
      </c>
      <c r="K138" s="41"/>
      <c r="L138" s="19"/>
      <c r="M138" s="19"/>
      <c r="N138" s="19"/>
      <c r="O138" s="19"/>
      <c r="P138" s="19"/>
      <c r="Q138" s="19"/>
      <c r="R138" s="19"/>
      <c r="S138" s="19"/>
      <c r="T138" s="19"/>
      <c r="U138" s="19"/>
    </row>
    <row r="139" spans="1:21" x14ac:dyDescent="0.45">
      <c r="A139" s="45"/>
      <c r="B139" s="319"/>
      <c r="C139" s="45"/>
      <c r="D139" s="46"/>
      <c r="E139" s="45"/>
      <c r="F139" s="45"/>
      <c r="G139" s="45"/>
      <c r="H139" s="45"/>
      <c r="I139" s="45"/>
      <c r="J139" s="47"/>
      <c r="K139" s="48"/>
      <c r="L139" s="19"/>
      <c r="M139" s="19"/>
      <c r="N139" s="19"/>
      <c r="O139" s="19"/>
      <c r="P139" s="19"/>
      <c r="Q139" s="19"/>
      <c r="R139" s="19"/>
      <c r="S139" s="19"/>
      <c r="T139" s="19"/>
      <c r="U139" s="19"/>
    </row>
    <row r="140" spans="1:21" ht="28.5" customHeight="1" x14ac:dyDescent="0.45">
      <c r="A140" s="62" t="str">
        <f>Arbejdsark!$A$467</f>
        <v>Integreret designproces</v>
      </c>
      <c r="B140" s="329">
        <v>2</v>
      </c>
      <c r="C140" s="62"/>
      <c r="D140" s="62"/>
      <c r="E140" s="62"/>
      <c r="F140" s="62"/>
      <c r="G140" s="62"/>
      <c r="H140" s="62"/>
      <c r="I140" s="63" t="str">
        <f>IF('Sortering af spørgsmål'!$C$27=Projektforudsætninger!$C$21,"Udfyld spørgsmål","Ingen spørgsmål")</f>
        <v>Ingen spørgsmål</v>
      </c>
      <c r="J140" s="64"/>
      <c r="K140" s="65"/>
      <c r="L140" s="19"/>
      <c r="M140" s="19"/>
      <c r="N140" s="19"/>
      <c r="O140" s="19"/>
      <c r="P140" s="19"/>
      <c r="Q140" s="19"/>
      <c r="R140" s="19"/>
      <c r="S140" s="19"/>
      <c r="T140" s="19"/>
      <c r="U140" s="19"/>
    </row>
    <row r="141" spans="1:21" ht="113.65" customHeight="1" x14ac:dyDescent="0.45">
      <c r="A141" s="45" t="str">
        <f>Arbejdsark!$A$467</f>
        <v>Integreret designproces</v>
      </c>
      <c r="B141" s="327" t="str">
        <f>Arbejdsark!$B$467</f>
        <v>2.1</v>
      </c>
      <c r="C141" s="45" t="str">
        <f>IF('Sortering af spørgsmål'!$C$27=Projektforudsætninger!$C$21,Arbejdsark!$C$467,"")</f>
        <v/>
      </c>
      <c r="D141" s="46">
        <f>Arbejdsark!D147</f>
        <v>0</v>
      </c>
      <c r="E141" s="45">
        <f>Arbejdsark!I147</f>
        <v>0</v>
      </c>
      <c r="F141" s="45">
        <f>Arbejdsark!J147</f>
        <v>0</v>
      </c>
      <c r="G141" s="45" t="e">
        <f>Arbejdsark!#REF!</f>
        <v>#REF!</v>
      </c>
      <c r="H141" s="45" t="e">
        <f>Arbejdsark!#REF!</f>
        <v>#REF!</v>
      </c>
      <c r="I141" s="45" t="str">
        <f>IF('Sortering af spørgsmål'!$C$27=Projektforudsætninger!$C$21,Arbejdsark!$K$467,"")</f>
        <v/>
      </c>
      <c r="J141" s="37" t="s">
        <v>9</v>
      </c>
      <c r="K141" s="41"/>
      <c r="L141" s="19"/>
      <c r="M141" s="19"/>
      <c r="N141" s="19"/>
      <c r="O141" s="19"/>
      <c r="P141" s="19"/>
      <c r="Q141" s="19"/>
      <c r="R141" s="19"/>
      <c r="S141" s="19"/>
      <c r="T141" s="19"/>
      <c r="U141" s="19"/>
    </row>
    <row r="142" spans="1:21" ht="113.65" customHeight="1" x14ac:dyDescent="0.45">
      <c r="A142" s="45" t="str">
        <f>Arbejdsark!$A$467</f>
        <v>Integreret designproces</v>
      </c>
      <c r="B142" s="327" t="str">
        <f>Arbejdsark!$B$472</f>
        <v>2.2</v>
      </c>
      <c r="C142" s="45" t="str">
        <f>IF('Sortering af spørgsmål'!$C$27=Projektforudsætninger!$C$21,Arbejdsark!$C$472,"")</f>
        <v/>
      </c>
      <c r="D142" s="46">
        <f>Arbejdsark!D148</f>
        <v>0</v>
      </c>
      <c r="E142" s="45">
        <f>Arbejdsark!I148</f>
        <v>0</v>
      </c>
      <c r="F142" s="45">
        <f>Arbejdsark!J148</f>
        <v>0</v>
      </c>
      <c r="G142" s="45" t="e">
        <f>Arbejdsark!#REF!</f>
        <v>#REF!</v>
      </c>
      <c r="H142" s="45" t="e">
        <f>Arbejdsark!#REF!</f>
        <v>#REF!</v>
      </c>
      <c r="I142" s="45" t="str">
        <f>IF('Sortering af spørgsmål'!$C$27=Projektforudsætninger!$C$21,Arbejdsark!$K$472,"")</f>
        <v/>
      </c>
      <c r="J142" s="37" t="s">
        <v>9</v>
      </c>
      <c r="K142" s="41"/>
      <c r="L142" s="19"/>
      <c r="M142" s="19"/>
      <c r="N142" s="19"/>
      <c r="O142" s="19"/>
      <c r="P142" s="19"/>
      <c r="Q142" s="19"/>
      <c r="R142" s="19"/>
      <c r="S142" s="19"/>
      <c r="T142" s="19"/>
      <c r="U142" s="19"/>
    </row>
    <row r="143" spans="1:21" ht="113.65" customHeight="1" x14ac:dyDescent="0.45">
      <c r="A143" s="45" t="str">
        <f>Arbejdsark!$A$467</f>
        <v>Integreret designproces</v>
      </c>
      <c r="B143" s="327" t="str">
        <f>Arbejdsark!$B$477</f>
        <v>2.3</v>
      </c>
      <c r="C143" s="45" t="str">
        <f>IF('Sortering af spørgsmål'!$C$27=Projektforudsætninger!$C$21,Arbejdsark!$C$477,"")</f>
        <v/>
      </c>
      <c r="D143" s="46" t="str">
        <f>Arbejdsark!D149</f>
        <v>ECO2.1
Vægtning: 25 % af ECO2.1 pkt. 6</v>
      </c>
      <c r="E143" s="45" t="str">
        <f>Arbejdsark!I149</f>
        <v>x</v>
      </c>
      <c r="F143" s="45">
        <f>Arbejdsark!J149</f>
        <v>0</v>
      </c>
      <c r="G143" s="45" t="e">
        <f>Arbejdsark!#REF!</f>
        <v>#REF!</v>
      </c>
      <c r="H143" s="45" t="e">
        <f>Arbejdsark!#REF!</f>
        <v>#REF!</v>
      </c>
      <c r="I143" s="45" t="str">
        <f>IF('Sortering af spørgsmål'!$C$27=Projektforudsætninger!$C$21,Arbejdsark!$K$477,"")</f>
        <v/>
      </c>
      <c r="J143" s="37" t="s">
        <v>9</v>
      </c>
      <c r="K143" s="41"/>
      <c r="L143" s="19"/>
      <c r="M143" s="19"/>
      <c r="N143" s="19"/>
      <c r="O143" s="19"/>
      <c r="P143" s="19"/>
      <c r="Q143" s="19"/>
      <c r="R143" s="19"/>
      <c r="S143" s="19"/>
      <c r="T143" s="19"/>
      <c r="U143" s="19"/>
    </row>
    <row r="144" spans="1:21" ht="113.65" customHeight="1" x14ac:dyDescent="0.45">
      <c r="A144" s="45" t="str">
        <f>Arbejdsark!$A$467</f>
        <v>Integreret designproces</v>
      </c>
      <c r="B144" s="327" t="str">
        <f>Arbejdsark!$B$482</f>
        <v>2.4</v>
      </c>
      <c r="C144" s="45" t="str">
        <f>IF('Sortering af spørgsmål'!$C$27=Projektforudsætninger!$C$21,Arbejdsark!$C$482,"")</f>
        <v/>
      </c>
      <c r="D144" s="46">
        <f>Arbejdsark!D150</f>
        <v>0</v>
      </c>
      <c r="E144" s="45">
        <f>Arbejdsark!I150</f>
        <v>0</v>
      </c>
      <c r="F144" s="45">
        <f>Arbejdsark!J150</f>
        <v>0</v>
      </c>
      <c r="G144" s="45" t="e">
        <f>Arbejdsark!#REF!</f>
        <v>#REF!</v>
      </c>
      <c r="H144" s="45" t="e">
        <f>Arbejdsark!#REF!</f>
        <v>#REF!</v>
      </c>
      <c r="I144" s="45" t="str">
        <f>IF('Sortering af spørgsmål'!$C$27=Projektforudsætninger!$C$21,Arbejdsark!$K$482,"")</f>
        <v/>
      </c>
      <c r="J144" s="37" t="s">
        <v>9</v>
      </c>
      <c r="K144" s="41"/>
      <c r="L144" s="19"/>
      <c r="M144" s="19"/>
      <c r="N144" s="19"/>
      <c r="O144" s="19"/>
      <c r="P144" s="19"/>
      <c r="Q144" s="19"/>
      <c r="R144" s="19"/>
      <c r="S144" s="19"/>
      <c r="T144" s="19"/>
      <c r="U144" s="19"/>
    </row>
    <row r="145" spans="1:21" ht="113.65" customHeight="1" x14ac:dyDescent="0.45">
      <c r="A145" s="45" t="str">
        <f>Arbejdsark!$A$467</f>
        <v>Integreret designproces</v>
      </c>
      <c r="B145" s="327" t="str">
        <f>Arbejdsark!$B$487</f>
        <v>2.5</v>
      </c>
      <c r="C145" s="45" t="str">
        <f>IF('Sortering af spørgsmål'!$C$27=Projektforudsætninger!$C$21,Arbejdsark!$C$487,"")</f>
        <v/>
      </c>
      <c r="D145" s="46">
        <f>Arbejdsark!D151</f>
        <v>0</v>
      </c>
      <c r="E145" s="45">
        <f>Arbejdsark!I151</f>
        <v>0</v>
      </c>
      <c r="F145" s="45">
        <f>Arbejdsark!J151</f>
        <v>0</v>
      </c>
      <c r="G145" s="45" t="e">
        <f>Arbejdsark!#REF!</f>
        <v>#REF!</v>
      </c>
      <c r="H145" s="45" t="e">
        <f>Arbejdsark!#REF!</f>
        <v>#REF!</v>
      </c>
      <c r="I145" s="45" t="str">
        <f>IF('Sortering af spørgsmål'!$C$27=Projektforudsætninger!$C$21,Arbejdsark!$K$487,"")</f>
        <v/>
      </c>
      <c r="J145" s="37" t="s">
        <v>9</v>
      </c>
      <c r="K145" s="41"/>
      <c r="L145" s="19"/>
      <c r="M145" s="19"/>
      <c r="N145" s="19"/>
      <c r="O145" s="19"/>
      <c r="P145" s="19"/>
      <c r="Q145" s="19"/>
      <c r="R145" s="19"/>
      <c r="S145" s="19"/>
      <c r="T145" s="19"/>
      <c r="U145" s="19"/>
    </row>
    <row r="146" spans="1:21" x14ac:dyDescent="0.45">
      <c r="A146" s="45"/>
      <c r="B146" s="319"/>
      <c r="C146" s="45"/>
      <c r="D146" s="46"/>
      <c r="E146" s="45"/>
      <c r="F146" s="45"/>
      <c r="G146" s="45"/>
      <c r="H146" s="45"/>
      <c r="I146" s="45"/>
      <c r="J146" s="47"/>
      <c r="K146" s="48"/>
      <c r="L146" s="19"/>
      <c r="M146" s="19"/>
      <c r="N146" s="19"/>
      <c r="O146" s="19"/>
      <c r="P146" s="19"/>
      <c r="Q146" s="19"/>
      <c r="R146" s="19"/>
      <c r="S146" s="19"/>
      <c r="T146" s="19"/>
      <c r="U146" s="19"/>
    </row>
    <row r="147" spans="1:21" ht="28.5" customHeight="1" x14ac:dyDescent="0.45">
      <c r="A147" s="62" t="str">
        <f>Arbejdsark!$A$492</f>
        <v>Koncepter</v>
      </c>
      <c r="B147" s="329">
        <v>3</v>
      </c>
      <c r="C147" s="62"/>
      <c r="D147" s="62"/>
      <c r="E147" s="62"/>
      <c r="F147" s="62"/>
      <c r="G147" s="62"/>
      <c r="H147" s="62"/>
      <c r="I147" s="63" t="str">
        <f>IF('Sortering af spørgsmål'!$C$28=Projektforudsætninger!$C$21,"Udfyld spørgsmål","Ingen spørgsmål")</f>
        <v>Ingen spørgsmål</v>
      </c>
      <c r="J147" s="64"/>
      <c r="K147" s="65"/>
      <c r="L147" s="19"/>
      <c r="M147" s="19"/>
      <c r="N147" s="19"/>
      <c r="O147" s="19"/>
      <c r="P147" s="19"/>
      <c r="Q147" s="19"/>
      <c r="R147" s="19"/>
      <c r="S147" s="19"/>
      <c r="T147" s="19"/>
      <c r="U147" s="19"/>
    </row>
    <row r="148" spans="1:21" ht="170.25" customHeight="1" x14ac:dyDescent="0.45">
      <c r="A148" s="45" t="str">
        <f>Arbejdsark!$A$492</f>
        <v>Koncepter</v>
      </c>
      <c r="B148" s="327" t="str">
        <f>Arbejdsark!$B$492</f>
        <v>3.1</v>
      </c>
      <c r="C148" s="45" t="str">
        <f>IF('Sortering af spørgsmål'!$C$28=Projektforudsætninger!$C$21,Arbejdsark!$C$492,"")</f>
        <v/>
      </c>
      <c r="D148" s="46">
        <f>Arbejdsark!D152</f>
        <v>0</v>
      </c>
      <c r="E148" s="45">
        <f>Arbejdsark!I152</f>
        <v>0</v>
      </c>
      <c r="F148" s="45">
        <f>Arbejdsark!J152</f>
        <v>0</v>
      </c>
      <c r="G148" s="45" t="e">
        <f>Arbejdsark!#REF!</f>
        <v>#REF!</v>
      </c>
      <c r="H148" s="45" t="e">
        <f>Arbejdsark!#REF!</f>
        <v>#REF!</v>
      </c>
      <c r="I148" s="45" t="str">
        <f>IF('Sortering af spørgsmål'!$C$28=Projektforudsætninger!$C$21,Arbejdsark!$K$492,"")</f>
        <v/>
      </c>
      <c r="J148" s="37" t="s">
        <v>9</v>
      </c>
      <c r="K148" s="41"/>
      <c r="L148" s="19"/>
      <c r="M148" s="19"/>
      <c r="N148" s="19"/>
      <c r="O148" s="19"/>
      <c r="P148" s="19"/>
      <c r="Q148" s="19"/>
      <c r="R148" s="19"/>
      <c r="S148" s="19"/>
      <c r="T148" s="19"/>
      <c r="U148" s="19"/>
    </row>
    <row r="149" spans="1:21" x14ac:dyDescent="0.45">
      <c r="A149" s="45"/>
      <c r="B149" s="319"/>
      <c r="C149" s="45"/>
      <c r="D149" s="46"/>
      <c r="E149" s="45"/>
      <c r="F149" s="45"/>
      <c r="G149" s="45"/>
      <c r="H149" s="45"/>
      <c r="I149" s="45"/>
      <c r="J149" s="47"/>
      <c r="K149" s="48"/>
      <c r="L149" s="19"/>
      <c r="M149" s="19"/>
      <c r="N149" s="19"/>
      <c r="O149" s="19"/>
      <c r="P149" s="19"/>
      <c r="Q149" s="19"/>
      <c r="R149" s="19"/>
      <c r="S149" s="19"/>
      <c r="T149" s="19"/>
      <c r="U149" s="19"/>
    </row>
    <row r="150" spans="1:21" ht="28.5" customHeight="1" x14ac:dyDescent="0.45">
      <c r="A150" s="62" t="str">
        <f>Arbejdsark!$A$497</f>
        <v>Entrepriseudbud</v>
      </c>
      <c r="B150" s="329">
        <v>4</v>
      </c>
      <c r="C150" s="62"/>
      <c r="D150" s="62"/>
      <c r="E150" s="62"/>
      <c r="F150" s="62"/>
      <c r="G150" s="62"/>
      <c r="H150" s="62"/>
      <c r="I150" s="63" t="str">
        <f>IF('Sortering af spørgsmål'!$C$29=Projektforudsætninger!$C$21,"Udfyld spørgsmål","Ingen spørgsmål")</f>
        <v>Ingen spørgsmål</v>
      </c>
      <c r="J150" s="64"/>
      <c r="K150" s="65"/>
      <c r="L150" s="19"/>
      <c r="M150" s="19"/>
      <c r="N150" s="19"/>
      <c r="O150" s="19"/>
      <c r="P150" s="19"/>
      <c r="Q150" s="19"/>
      <c r="R150" s="19"/>
      <c r="S150" s="19"/>
      <c r="T150" s="19"/>
      <c r="U150" s="19"/>
    </row>
    <row r="151" spans="1:21" ht="113.65" customHeight="1" x14ac:dyDescent="0.45">
      <c r="A151" s="45" t="str">
        <f>Arbejdsark!$A$497</f>
        <v>Entrepriseudbud</v>
      </c>
      <c r="B151" s="327" t="str">
        <f>Arbejdsark!$B$497</f>
        <v>4.1</v>
      </c>
      <c r="C151" s="45" t="str">
        <f>IF('Sortering af spørgsmål'!$C$29=Projektforudsætninger!$C$21,Arbejdsark!$C$497,"")</f>
        <v/>
      </c>
      <c r="D151" s="46">
        <f>Arbejdsark!D157</f>
        <v>0</v>
      </c>
      <c r="E151" s="45">
        <f>Arbejdsark!I157</f>
        <v>0</v>
      </c>
      <c r="F151" s="45">
        <f>Arbejdsark!J157</f>
        <v>0</v>
      </c>
      <c r="G151" s="45" t="e">
        <f>Arbejdsark!#REF!</f>
        <v>#REF!</v>
      </c>
      <c r="H151" s="45" t="e">
        <f>Arbejdsark!#REF!</f>
        <v>#REF!</v>
      </c>
      <c r="I151" s="45" t="str">
        <f>IF('Sortering af spørgsmål'!$C$29=Projektforudsætninger!$C$21,Arbejdsark!$K$497,"")</f>
        <v/>
      </c>
      <c r="J151" s="37" t="s">
        <v>9</v>
      </c>
      <c r="K151" s="41"/>
      <c r="L151" s="19"/>
      <c r="M151" s="19"/>
      <c r="N151" s="19"/>
      <c r="O151" s="19"/>
      <c r="P151" s="19"/>
      <c r="Q151" s="19"/>
      <c r="R151" s="19"/>
      <c r="S151" s="19"/>
      <c r="T151" s="19"/>
      <c r="U151" s="19"/>
    </row>
    <row r="152" spans="1:21" x14ac:dyDescent="0.45">
      <c r="A152" s="45"/>
      <c r="B152" s="319"/>
      <c r="C152" s="45"/>
      <c r="D152" s="46"/>
      <c r="E152" s="45"/>
      <c r="F152" s="45"/>
      <c r="G152" s="45"/>
      <c r="H152" s="45"/>
      <c r="I152" s="45"/>
      <c r="J152" s="47"/>
      <c r="K152" s="48"/>
      <c r="L152" s="19"/>
      <c r="M152" s="19"/>
      <c r="N152" s="19"/>
      <c r="O152" s="19"/>
      <c r="P152" s="19"/>
      <c r="Q152" s="19"/>
      <c r="R152" s="19"/>
      <c r="S152" s="19"/>
      <c r="T152" s="19"/>
      <c r="U152" s="19"/>
    </row>
    <row r="153" spans="1:21" ht="85.15" customHeight="1" x14ac:dyDescent="0.45">
      <c r="A153" s="62" t="str">
        <f>Arbejdsark!$A$502</f>
        <v>Kvalitet af aflevering til driftspersonale</v>
      </c>
      <c r="B153" s="329">
        <v>5</v>
      </c>
      <c r="C153" s="62"/>
      <c r="D153" s="62"/>
      <c r="E153" s="62"/>
      <c r="F153" s="62"/>
      <c r="G153" s="62"/>
      <c r="H153" s="62"/>
      <c r="I153" s="63" t="str">
        <f>IF('Sortering af spørgsmål'!$C$30=Projektforudsætninger!$C$21,"Udfyld spørgsmål","Ingen spørgsmål")</f>
        <v>Ingen spørgsmål</v>
      </c>
      <c r="J153" s="64"/>
      <c r="K153" s="65"/>
      <c r="L153" s="19"/>
      <c r="M153" s="19"/>
      <c r="N153" s="19"/>
      <c r="O153" s="19"/>
      <c r="P153" s="19"/>
      <c r="Q153" s="19"/>
      <c r="R153" s="19"/>
      <c r="S153" s="19"/>
      <c r="T153" s="19"/>
      <c r="U153" s="19"/>
    </row>
    <row r="154" spans="1:21" ht="113.65" customHeight="1" x14ac:dyDescent="0.45">
      <c r="A154" s="45" t="str">
        <f>Arbejdsark!$A$502</f>
        <v>Kvalitet af aflevering til driftspersonale</v>
      </c>
      <c r="B154" s="327" t="str">
        <f>Arbejdsark!$B$502</f>
        <v>5.1</v>
      </c>
      <c r="C154" s="45" t="str">
        <f>IF('Sortering af spørgsmål'!$C$30=Projektforudsætninger!$C$21,Arbejdsark!$C$502,"")</f>
        <v/>
      </c>
      <c r="D154" s="46">
        <f>Arbejdsark!D160</f>
        <v>0</v>
      </c>
      <c r="E154" s="45">
        <f>Arbejdsark!I160</f>
        <v>0</v>
      </c>
      <c r="F154" s="45">
        <f>Arbejdsark!J160</f>
        <v>0</v>
      </c>
      <c r="G154" s="45" t="e">
        <f>Arbejdsark!#REF!</f>
        <v>#REF!</v>
      </c>
      <c r="H154" s="45" t="e">
        <f>Arbejdsark!#REF!</f>
        <v>#REF!</v>
      </c>
      <c r="I154" s="45" t="str">
        <f>IF('Sortering af spørgsmål'!$C$30=Projektforudsætninger!$C$21,Arbejdsark!$K$502,"")</f>
        <v/>
      </c>
      <c r="J154" s="37" t="s">
        <v>9</v>
      </c>
      <c r="K154" s="41"/>
      <c r="L154" s="19"/>
      <c r="M154" s="19"/>
      <c r="N154" s="19"/>
      <c r="O154" s="19"/>
      <c r="P154" s="19"/>
      <c r="Q154" s="19"/>
      <c r="R154" s="19"/>
      <c r="S154" s="19"/>
      <c r="T154" s="19"/>
      <c r="U154" s="19"/>
    </row>
    <row r="155" spans="1:21" ht="113.65" customHeight="1" x14ac:dyDescent="0.45">
      <c r="A155" s="45" t="str">
        <f>Arbejdsark!$A$502</f>
        <v>Kvalitet af aflevering til driftspersonale</v>
      </c>
      <c r="B155" s="327" t="str">
        <f>Arbejdsark!$B$507</f>
        <v>5.2</v>
      </c>
      <c r="C155" s="45" t="str">
        <f>IF('Sortering af spørgsmål'!$C$30=Projektforudsætninger!$C$21,Arbejdsark!$C$507,"")</f>
        <v/>
      </c>
      <c r="D155" s="46">
        <f>Arbejdsark!D161</f>
        <v>0</v>
      </c>
      <c r="E155" s="45">
        <f>Arbejdsark!I161</f>
        <v>0</v>
      </c>
      <c r="F155" s="45">
        <f>Arbejdsark!J161</f>
        <v>0</v>
      </c>
      <c r="G155" s="45" t="e">
        <f>Arbejdsark!#REF!</f>
        <v>#REF!</v>
      </c>
      <c r="H155" s="45" t="e">
        <f>Arbejdsark!#REF!</f>
        <v>#REF!</v>
      </c>
      <c r="I155" s="45" t="str">
        <f>IF('Sortering af spørgsmål'!$C$30=Projektforudsætninger!$C$21,Arbejdsark!$K$507,"")</f>
        <v/>
      </c>
      <c r="J155" s="37" t="s">
        <v>9</v>
      </c>
      <c r="K155" s="41"/>
      <c r="L155" s="19"/>
      <c r="M155" s="19"/>
      <c r="N155" s="19"/>
      <c r="O155" s="19"/>
      <c r="P155" s="19"/>
      <c r="Q155" s="19"/>
      <c r="R155" s="19"/>
      <c r="S155" s="19"/>
      <c r="T155" s="19"/>
      <c r="U155" s="19"/>
    </row>
    <row r="156" spans="1:21" ht="113.65" customHeight="1" x14ac:dyDescent="0.45">
      <c r="A156" s="45" t="str">
        <f>Arbejdsark!$A$502</f>
        <v>Kvalitet af aflevering til driftspersonale</v>
      </c>
      <c r="B156" s="327" t="str">
        <f>Arbejdsark!$B$512</f>
        <v>5.3</v>
      </c>
      <c r="C156" s="45" t="str">
        <f>IF('Sortering af spørgsmål'!$C$30=Projektforudsætninger!$C$21,Arbejdsark!$C$512,"")</f>
        <v/>
      </c>
      <c r="D156" s="46">
        <f>Arbejdsark!D162</f>
        <v>0</v>
      </c>
      <c r="E156" s="45">
        <f>Arbejdsark!I162</f>
        <v>0</v>
      </c>
      <c r="F156" s="45">
        <f>Arbejdsark!J162</f>
        <v>0</v>
      </c>
      <c r="G156" s="45" t="e">
        <f>Arbejdsark!#REF!</f>
        <v>#REF!</v>
      </c>
      <c r="H156" s="45" t="e">
        <f>Arbejdsark!#REF!</f>
        <v>#REF!</v>
      </c>
      <c r="I156" s="45" t="str">
        <f>IF('Sortering af spørgsmål'!$C$30=Projektforudsætninger!$C$21,Arbejdsark!$K$512,"")</f>
        <v/>
      </c>
      <c r="J156" s="37" t="s">
        <v>9</v>
      </c>
      <c r="K156" s="41"/>
      <c r="L156" s="19"/>
      <c r="M156" s="19"/>
      <c r="N156" s="19"/>
      <c r="O156" s="19"/>
      <c r="P156" s="19"/>
      <c r="Q156" s="19"/>
      <c r="R156" s="19"/>
      <c r="S156" s="19"/>
      <c r="T156" s="19"/>
      <c r="U156" s="19"/>
    </row>
    <row r="157" spans="1:21" x14ac:dyDescent="0.45">
      <c r="A157" s="45"/>
      <c r="B157" s="319"/>
      <c r="C157" s="45"/>
      <c r="D157" s="46"/>
      <c r="E157" s="45"/>
      <c r="F157" s="45"/>
      <c r="G157" s="45"/>
      <c r="H157" s="45"/>
      <c r="I157" s="45"/>
      <c r="J157" s="47"/>
      <c r="K157" s="48"/>
      <c r="L157" s="19"/>
      <c r="M157" s="19"/>
      <c r="N157" s="19"/>
      <c r="O157" s="19"/>
      <c r="P157" s="19"/>
      <c r="Q157" s="19"/>
      <c r="R157" s="19"/>
      <c r="S157" s="19"/>
      <c r="T157" s="19"/>
      <c r="U157" s="19"/>
    </row>
    <row r="158" spans="1:21" ht="28.5" customHeight="1" x14ac:dyDescent="0.45">
      <c r="A158" s="62" t="str">
        <f>Arbejdsark!$A$517</f>
        <v>Byggeplads</v>
      </c>
      <c r="B158" s="329">
        <v>6</v>
      </c>
      <c r="C158" s="62"/>
      <c r="D158" s="62"/>
      <c r="E158" s="62"/>
      <c r="F158" s="62"/>
      <c r="G158" s="62"/>
      <c r="H158" s="62"/>
      <c r="I158" s="63" t="str">
        <f>IF('Sortering af spørgsmål'!$C$31=Projektforudsætninger!$C$21,"Udfyld spørgsmål","Ingen spørgsmål")</f>
        <v>Ingen spørgsmål</v>
      </c>
      <c r="J158" s="64"/>
      <c r="K158" s="65"/>
      <c r="L158" s="19"/>
      <c r="M158" s="19"/>
      <c r="N158" s="19"/>
      <c r="O158" s="19"/>
      <c r="P158" s="19"/>
      <c r="Q158" s="19"/>
      <c r="R158" s="19"/>
      <c r="S158" s="19"/>
      <c r="T158" s="19"/>
      <c r="U158" s="19"/>
    </row>
    <row r="159" spans="1:21" ht="141.75" customHeight="1" x14ac:dyDescent="0.45">
      <c r="A159" s="45" t="str">
        <f>Arbejdsark!$A$517</f>
        <v>Byggeplads</v>
      </c>
      <c r="B159" s="327" t="str">
        <f>Arbejdsark!$B$517</f>
        <v>6.1</v>
      </c>
      <c r="C159" s="45" t="str">
        <f>IF('Sortering af spørgsmål'!$C$31=Projektforudsætninger!$C$21,Arbejdsark!$C$517,"")</f>
        <v/>
      </c>
      <c r="D159" s="46">
        <f>Arbejdsark!D163</f>
        <v>0</v>
      </c>
      <c r="E159" s="45">
        <f>Arbejdsark!I163</f>
        <v>0</v>
      </c>
      <c r="F159" s="45">
        <f>Arbejdsark!J163</f>
        <v>0</v>
      </c>
      <c r="G159" s="45" t="e">
        <f>Arbejdsark!#REF!</f>
        <v>#REF!</v>
      </c>
      <c r="H159" s="45" t="e">
        <f>Arbejdsark!#REF!</f>
        <v>#REF!</v>
      </c>
      <c r="I159" s="45" t="str">
        <f>IF('Sortering af spørgsmål'!$C$31=Projektforudsætninger!$C$21,Arbejdsark!$K$517,"")</f>
        <v/>
      </c>
      <c r="J159" s="37" t="s">
        <v>9</v>
      </c>
      <c r="K159" s="41"/>
      <c r="L159" s="19"/>
      <c r="M159" s="19"/>
      <c r="N159" s="19"/>
      <c r="O159" s="19"/>
      <c r="P159" s="19"/>
      <c r="Q159" s="19"/>
      <c r="R159" s="19"/>
      <c r="S159" s="19"/>
      <c r="T159" s="19"/>
      <c r="U159" s="19"/>
    </row>
    <row r="160" spans="1:21" ht="141.75" customHeight="1" x14ac:dyDescent="0.45">
      <c r="A160" s="45" t="str">
        <f>Arbejdsark!$A$517</f>
        <v>Byggeplads</v>
      </c>
      <c r="B160" s="327" t="str">
        <f>Arbejdsark!$B$522</f>
        <v>6.2</v>
      </c>
      <c r="C160" s="45" t="str">
        <f>IF('Sortering af spørgsmål'!$C$31=Projektforudsætninger!$C$21,Arbejdsark!$C$522,"")</f>
        <v/>
      </c>
      <c r="D160" s="46" t="e">
        <f>Arbejdsark!#REF!</f>
        <v>#REF!</v>
      </c>
      <c r="E160" s="45" t="e">
        <f>Arbejdsark!#REF!</f>
        <v>#REF!</v>
      </c>
      <c r="F160" s="45" t="e">
        <f>Arbejdsark!#REF!</f>
        <v>#REF!</v>
      </c>
      <c r="G160" s="45" t="e">
        <f>Arbejdsark!#REF!</f>
        <v>#REF!</v>
      </c>
      <c r="H160" s="45" t="e">
        <f>Arbejdsark!#REF!</f>
        <v>#REF!</v>
      </c>
      <c r="I160" s="45" t="str">
        <f>IF('Sortering af spørgsmål'!$C$31=Projektforudsætninger!$C$21,Arbejdsark!$K$522,"")</f>
        <v/>
      </c>
      <c r="J160" s="37" t="s">
        <v>9</v>
      </c>
      <c r="K160" s="41"/>
      <c r="L160" s="19"/>
      <c r="M160" s="19"/>
      <c r="N160" s="19"/>
      <c r="O160" s="19"/>
      <c r="P160" s="19"/>
      <c r="Q160" s="19"/>
      <c r="R160" s="19"/>
      <c r="S160" s="19"/>
      <c r="T160" s="19"/>
      <c r="U160" s="19"/>
    </row>
    <row r="161" spans="1:22" ht="141.75" customHeight="1" x14ac:dyDescent="0.45">
      <c r="A161" s="45" t="str">
        <f>Arbejdsark!$A$517</f>
        <v>Byggeplads</v>
      </c>
      <c r="B161" s="327" t="str">
        <f>Arbejdsark!$B$527</f>
        <v>6.3</v>
      </c>
      <c r="C161" s="45" t="str">
        <f>IF('Sortering af spørgsmål'!$C$31=Projektforudsætninger!$C$21,Arbejdsark!$C$527,"")</f>
        <v/>
      </c>
      <c r="D161" s="46" t="e">
        <f>Arbejdsark!#REF!</f>
        <v>#REF!</v>
      </c>
      <c r="E161" s="45" t="e">
        <f>Arbejdsark!#REF!</f>
        <v>#REF!</v>
      </c>
      <c r="F161" s="45" t="e">
        <f>Arbejdsark!#REF!</f>
        <v>#REF!</v>
      </c>
      <c r="G161" s="45" t="e">
        <f>Arbejdsark!#REF!</f>
        <v>#REF!</v>
      </c>
      <c r="H161" s="45" t="e">
        <f>Arbejdsark!#REF!</f>
        <v>#REF!</v>
      </c>
      <c r="I161" s="45" t="str">
        <f>IF('Sortering af spørgsmål'!$C$31=Projektforudsætninger!$C$21,Arbejdsark!$K$527,"")</f>
        <v/>
      </c>
      <c r="J161" s="37" t="s">
        <v>9</v>
      </c>
      <c r="K161" s="41"/>
      <c r="L161" s="19"/>
      <c r="M161" s="19"/>
      <c r="N161" s="19"/>
      <c r="O161" s="19"/>
      <c r="P161" s="19"/>
      <c r="Q161" s="19"/>
      <c r="R161" s="19"/>
      <c r="S161" s="19"/>
      <c r="T161" s="19"/>
      <c r="U161" s="19"/>
    </row>
    <row r="162" spans="1:22" ht="141.75" customHeight="1" x14ac:dyDescent="0.45">
      <c r="A162" s="45" t="str">
        <f>Arbejdsark!$A$517</f>
        <v>Byggeplads</v>
      </c>
      <c r="B162" s="327" t="str">
        <f>Arbejdsark!$B$532</f>
        <v>6.4</v>
      </c>
      <c r="C162" s="45" t="str">
        <f>IF('Sortering af spørgsmål'!$C$31=Projektforudsætninger!$C$21,Arbejdsark!$C$532,"")</f>
        <v/>
      </c>
      <c r="D162" s="46" t="e">
        <f>Arbejdsark!#REF!</f>
        <v>#REF!</v>
      </c>
      <c r="E162" s="45" t="e">
        <f>Arbejdsark!#REF!</f>
        <v>#REF!</v>
      </c>
      <c r="F162" s="45" t="e">
        <f>Arbejdsark!#REF!</f>
        <v>#REF!</v>
      </c>
      <c r="G162" s="45" t="e">
        <f>Arbejdsark!#REF!</f>
        <v>#REF!</v>
      </c>
      <c r="H162" s="45" t="e">
        <f>Arbejdsark!#REF!</f>
        <v>#REF!</v>
      </c>
      <c r="I162" s="45" t="str">
        <f>IF('Sortering af spørgsmål'!$C$31=Projektforudsætninger!$C$21,Arbejdsark!$K$532,"")</f>
        <v/>
      </c>
      <c r="J162" s="37" t="s">
        <v>9</v>
      </c>
      <c r="K162" s="41"/>
      <c r="L162" s="19"/>
      <c r="M162" s="19"/>
      <c r="N162" s="19"/>
      <c r="O162" s="19"/>
      <c r="P162" s="19"/>
      <c r="Q162" s="19"/>
      <c r="R162" s="19"/>
      <c r="S162" s="19"/>
      <c r="T162" s="19"/>
      <c r="U162" s="19"/>
    </row>
    <row r="163" spans="1:22" ht="141.75" customHeight="1" x14ac:dyDescent="0.45">
      <c r="A163" s="45" t="str">
        <f>Arbejdsark!$A$517</f>
        <v>Byggeplads</v>
      </c>
      <c r="B163" s="327" t="str">
        <f>Arbejdsark!$B$537</f>
        <v>6.5</v>
      </c>
      <c r="C163" s="45" t="str">
        <f>IF('Sortering af spørgsmål'!$C$31=Projektforudsætninger!$C$21,Arbejdsark!$C$537,"")</f>
        <v/>
      </c>
      <c r="D163" s="46" t="e">
        <f>Arbejdsark!#REF!</f>
        <v>#REF!</v>
      </c>
      <c r="E163" s="45" t="e">
        <f>Arbejdsark!#REF!</f>
        <v>#REF!</v>
      </c>
      <c r="F163" s="45" t="e">
        <f>Arbejdsark!#REF!</f>
        <v>#REF!</v>
      </c>
      <c r="G163" s="45" t="e">
        <f>Arbejdsark!#REF!</f>
        <v>#REF!</v>
      </c>
      <c r="H163" s="45" t="e">
        <f>Arbejdsark!#REF!</f>
        <v>#REF!</v>
      </c>
      <c r="I163" s="45" t="str">
        <f>IF('Sortering af spørgsmål'!$C$31=Projektforudsætninger!$C$21,Arbejdsark!$K$537,"")</f>
        <v/>
      </c>
      <c r="J163" s="37" t="s">
        <v>9</v>
      </c>
      <c r="K163" s="41"/>
      <c r="L163" s="19"/>
      <c r="M163" s="19"/>
      <c r="N163" s="19"/>
      <c r="O163" s="19"/>
      <c r="P163" s="19"/>
      <c r="Q163" s="19"/>
      <c r="R163" s="19"/>
      <c r="S163" s="19"/>
      <c r="T163" s="19"/>
      <c r="U163" s="19"/>
    </row>
    <row r="164" spans="1:22" ht="141.75" customHeight="1" x14ac:dyDescent="0.45">
      <c r="A164" s="45" t="str">
        <f>Arbejdsark!$A$517</f>
        <v>Byggeplads</v>
      </c>
      <c r="B164" s="327" t="str">
        <f>Arbejdsark!$B$542</f>
        <v>6.6</v>
      </c>
      <c r="C164" s="45" t="str">
        <f>IF('Sortering af spørgsmål'!$C$31=Projektforudsætninger!$C$21,Arbejdsark!$C$542,"")</f>
        <v/>
      </c>
      <c r="D164" s="46" t="e">
        <f>Arbejdsark!#REF!</f>
        <v>#REF!</v>
      </c>
      <c r="E164" s="45" t="e">
        <f>Arbejdsark!#REF!</f>
        <v>#REF!</v>
      </c>
      <c r="F164" s="45" t="e">
        <f>Arbejdsark!#REF!</f>
        <v>#REF!</v>
      </c>
      <c r="G164" s="45" t="e">
        <f>Arbejdsark!#REF!</f>
        <v>#REF!</v>
      </c>
      <c r="H164" s="45" t="e">
        <f>Arbejdsark!#REF!</f>
        <v>#REF!</v>
      </c>
      <c r="I164" s="45" t="str">
        <f>IF('Sortering af spørgsmål'!$C$31=Projektforudsætninger!$C$21,Arbejdsark!$K$542,"")</f>
        <v/>
      </c>
      <c r="J164" s="37" t="s">
        <v>9</v>
      </c>
      <c r="K164" s="41"/>
      <c r="L164" s="19"/>
      <c r="M164" s="19"/>
      <c r="N164" s="19"/>
      <c r="O164" s="19"/>
      <c r="P164" s="19"/>
      <c r="Q164" s="19"/>
      <c r="R164" s="19"/>
      <c r="S164" s="19"/>
      <c r="T164" s="19"/>
      <c r="U164" s="19"/>
    </row>
    <row r="165" spans="1:22" x14ac:dyDescent="0.45">
      <c r="A165" s="45"/>
      <c r="B165" s="319"/>
      <c r="C165" s="45"/>
      <c r="D165" s="46"/>
      <c r="E165" s="45"/>
      <c r="F165" s="45"/>
      <c r="G165" s="45"/>
      <c r="H165" s="45"/>
      <c r="I165" s="45"/>
      <c r="J165" s="47"/>
      <c r="K165" s="48"/>
      <c r="L165" s="19"/>
      <c r="M165" s="19"/>
      <c r="N165" s="19"/>
      <c r="O165" s="19"/>
      <c r="P165" s="19"/>
      <c r="Q165" s="19"/>
      <c r="R165" s="19"/>
      <c r="S165" s="19"/>
      <c r="T165" s="19"/>
      <c r="U165" s="19"/>
    </row>
    <row r="166" spans="1:22" x14ac:dyDescent="0.45">
      <c r="A166" s="62" t="str">
        <f>Arbejdsark!$A$548</f>
        <v>Eftervisende dokumentation</v>
      </c>
      <c r="B166" s="329">
        <v>7</v>
      </c>
      <c r="C166" s="62"/>
      <c r="D166" s="62"/>
      <c r="E166" s="62"/>
      <c r="F166" s="62"/>
      <c r="G166" s="62"/>
      <c r="H166" s="62"/>
      <c r="I166" s="63" t="str">
        <f>IF('Sortering af spørgsmål'!$C$32=Projektforudsætninger!$C$21,"Udfyld spørgsmål","Ingen spørgsmål")</f>
        <v>Ingen spørgsmål</v>
      </c>
      <c r="J166" s="64"/>
      <c r="K166" s="65"/>
      <c r="L166" s="19"/>
      <c r="M166" s="19"/>
      <c r="N166" s="19"/>
      <c r="O166" s="19"/>
      <c r="P166" s="19"/>
      <c r="Q166" s="19"/>
      <c r="R166" s="19"/>
      <c r="S166" s="19"/>
      <c r="T166" s="19"/>
      <c r="U166" s="19"/>
    </row>
    <row r="167" spans="1:22" ht="113.65" customHeight="1" x14ac:dyDescent="0.45">
      <c r="A167" s="45" t="str">
        <f>Arbejdsark!$A$548</f>
        <v>Eftervisende dokumentation</v>
      </c>
      <c r="B167" s="327" t="str">
        <f>Arbejdsark!$B$548</f>
        <v>7.1</v>
      </c>
      <c r="C167" s="45" t="str">
        <f>IF('Sortering af spørgsmål'!$C$32=Projektforudsætninger!$C$21,Arbejdsark!$C$548,"")</f>
        <v/>
      </c>
      <c r="D167" s="46" t="e">
        <f>Arbejdsark!#REF!</f>
        <v>#REF!</v>
      </c>
      <c r="E167" s="45" t="e">
        <f>Arbejdsark!#REF!</f>
        <v>#REF!</v>
      </c>
      <c r="F167" s="45" t="e">
        <f>Arbejdsark!#REF!</f>
        <v>#REF!</v>
      </c>
      <c r="G167" s="45" t="e">
        <f>Arbejdsark!#REF!</f>
        <v>#REF!</v>
      </c>
      <c r="H167" s="45" t="e">
        <f>Arbejdsark!#REF!</f>
        <v>#REF!</v>
      </c>
      <c r="I167" s="45" t="str">
        <f>IF('Sortering af spørgsmål'!$C$32=Projektforudsætninger!$C$21,Arbejdsark!$K$548,"")</f>
        <v/>
      </c>
      <c r="J167" s="37" t="s">
        <v>9</v>
      </c>
      <c r="K167" s="41"/>
      <c r="L167" s="19"/>
      <c r="M167" s="19"/>
      <c r="N167" s="19"/>
      <c r="O167" s="19"/>
      <c r="P167" s="19"/>
      <c r="Q167" s="19"/>
      <c r="R167" s="19"/>
      <c r="S167" s="19"/>
      <c r="T167" s="19"/>
      <c r="U167" s="19"/>
    </row>
    <row r="168" spans="1:22" ht="113.65" customHeight="1" x14ac:dyDescent="0.45">
      <c r="A168" s="45" t="str">
        <f>Arbejdsark!$A$548</f>
        <v>Eftervisende dokumentation</v>
      </c>
      <c r="B168" s="327" t="str">
        <f>Arbejdsark!$B$553</f>
        <v>7.2</v>
      </c>
      <c r="C168" s="45" t="str">
        <f>IF('Sortering af spørgsmål'!$C$32=Projektforudsætninger!$C$21,Arbejdsark!$C$553,"")</f>
        <v/>
      </c>
      <c r="D168" s="46" t="e">
        <f>Arbejdsark!#REF!</f>
        <v>#REF!</v>
      </c>
      <c r="E168" s="45" t="e">
        <f>Arbejdsark!#REF!</f>
        <v>#REF!</v>
      </c>
      <c r="F168" s="45" t="e">
        <f>Arbejdsark!#REF!</f>
        <v>#REF!</v>
      </c>
      <c r="G168" s="45" t="e">
        <f>Arbejdsark!#REF!</f>
        <v>#REF!</v>
      </c>
      <c r="H168" s="45" t="e">
        <f>Arbejdsark!#REF!</f>
        <v>#REF!</v>
      </c>
      <c r="I168" s="45" t="str">
        <f>IF('Sortering af spørgsmål'!$C$32=Projektforudsætninger!$C$21,Arbejdsark!$K$553,"")</f>
        <v/>
      </c>
      <c r="J168" s="37" t="s">
        <v>9</v>
      </c>
      <c r="K168" s="41"/>
      <c r="L168" s="19"/>
      <c r="M168" s="19"/>
      <c r="N168" s="19"/>
      <c r="O168" s="19"/>
      <c r="P168" s="19"/>
      <c r="Q168" s="19"/>
      <c r="R168" s="19"/>
      <c r="S168" s="19"/>
      <c r="T168" s="19"/>
      <c r="U168" s="19"/>
    </row>
    <row r="169" spans="1:22" ht="113.65" customHeight="1" x14ac:dyDescent="0.45">
      <c r="A169" s="45" t="str">
        <f>Arbejdsark!$A$548</f>
        <v>Eftervisende dokumentation</v>
      </c>
      <c r="B169" s="327" t="str">
        <f>Arbejdsark!$B$558</f>
        <v>7.3</v>
      </c>
      <c r="C169" s="45" t="str">
        <f>IF('Sortering af spørgsmål'!$C$32=Projektforudsætninger!$C$21,Arbejdsark!$C$558,"")</f>
        <v/>
      </c>
      <c r="D169" s="46" t="e">
        <f>Arbejdsark!#REF!</f>
        <v>#REF!</v>
      </c>
      <c r="E169" s="45" t="e">
        <f>Arbejdsark!#REF!</f>
        <v>#REF!</v>
      </c>
      <c r="F169" s="45" t="e">
        <f>Arbejdsark!#REF!</f>
        <v>#REF!</v>
      </c>
      <c r="G169" s="45" t="e">
        <f>Arbejdsark!#REF!</f>
        <v>#REF!</v>
      </c>
      <c r="H169" s="45" t="e">
        <f>Arbejdsark!#REF!</f>
        <v>#REF!</v>
      </c>
      <c r="I169" s="45" t="str">
        <f>IF('Sortering af spørgsmål'!$C$32=Projektforudsætninger!$C$21,Arbejdsark!$K$558,"")</f>
        <v/>
      </c>
      <c r="J169" s="37" t="s">
        <v>9</v>
      </c>
      <c r="K169" s="41"/>
      <c r="L169" s="19"/>
      <c r="M169" s="19"/>
      <c r="N169" s="19"/>
      <c r="O169" s="19"/>
      <c r="P169" s="19"/>
      <c r="Q169" s="19"/>
      <c r="R169" s="19"/>
      <c r="S169" s="19"/>
      <c r="T169" s="19"/>
      <c r="U169" s="19"/>
    </row>
    <row r="170" spans="1:22" ht="170.25" customHeight="1" x14ac:dyDescent="0.45">
      <c r="A170" s="45" t="str">
        <f>Arbejdsark!$A$548</f>
        <v>Eftervisende dokumentation</v>
      </c>
      <c r="B170" s="327" t="str">
        <f>Arbejdsark!$B$563</f>
        <v>7.4</v>
      </c>
      <c r="C170" s="45" t="str">
        <f>IF('Sortering af spørgsmål'!$C$32=Projektforudsætninger!$C$21,Arbejdsark!$C$563,"")</f>
        <v/>
      </c>
      <c r="D170" s="46" t="e">
        <f>Arbejdsark!#REF!</f>
        <v>#REF!</v>
      </c>
      <c r="E170" s="45" t="e">
        <f>Arbejdsark!#REF!</f>
        <v>#REF!</v>
      </c>
      <c r="F170" s="45" t="e">
        <f>Arbejdsark!#REF!</f>
        <v>#REF!</v>
      </c>
      <c r="G170" s="45" t="e">
        <f>Arbejdsark!#REF!</f>
        <v>#REF!</v>
      </c>
      <c r="H170" s="45" t="e">
        <f>Arbejdsark!#REF!</f>
        <v>#REF!</v>
      </c>
      <c r="I170" s="45" t="str">
        <f>IF('Sortering af spørgsmål'!$C$32=Projektforudsætninger!$C$21,Arbejdsark!$K$563,"")</f>
        <v/>
      </c>
      <c r="J170" s="37" t="s">
        <v>9</v>
      </c>
      <c r="K170" s="41"/>
      <c r="L170" s="19"/>
      <c r="M170" s="19"/>
      <c r="N170" s="19"/>
      <c r="O170" s="19"/>
      <c r="P170" s="19"/>
      <c r="Q170" s="19"/>
      <c r="R170" s="19"/>
      <c r="S170" s="19"/>
      <c r="T170" s="19"/>
      <c r="U170" s="19"/>
    </row>
    <row r="171" spans="1:22" x14ac:dyDescent="0.45">
      <c r="A171" s="45" t="str">
        <f>Arbejdsark!$A$548</f>
        <v>Eftervisende dokumentation</v>
      </c>
      <c r="B171" s="327" t="str">
        <f>Arbejdsark!$B$572</f>
        <v>7.5</v>
      </c>
      <c r="C171" s="45" t="str">
        <f>IF('Sortering af spørgsmål'!$C$32=Projektforudsætninger!$C$21,Arbejdsark!$C$572,"")</f>
        <v/>
      </c>
      <c r="D171" s="46"/>
      <c r="E171" s="45"/>
      <c r="F171" s="45"/>
      <c r="G171" s="45"/>
      <c r="H171" s="45"/>
      <c r="I171" s="45" t="str">
        <f>IF('Sortering af spørgsmål'!$C$32=Projektforudsætninger!$C$21,Arbejdsark!$K$572,"")</f>
        <v/>
      </c>
      <c r="J171" s="37" t="s">
        <v>9</v>
      </c>
      <c r="K171" s="41"/>
      <c r="L171" s="19"/>
      <c r="M171" s="19"/>
      <c r="N171" s="19"/>
      <c r="O171" s="19"/>
      <c r="P171" s="19"/>
      <c r="Q171" s="19"/>
      <c r="R171" s="19"/>
      <c r="S171" s="19"/>
      <c r="T171" s="19"/>
      <c r="U171" s="19"/>
    </row>
    <row r="172" spans="1:22" ht="28.5" customHeight="1" x14ac:dyDescent="0.45">
      <c r="A172" s="304"/>
      <c r="B172" s="321"/>
      <c r="C172" s="304"/>
      <c r="D172" s="306"/>
      <c r="E172" s="304"/>
      <c r="F172" s="304"/>
      <c r="G172" s="304"/>
      <c r="H172" s="304"/>
      <c r="I172" s="304"/>
      <c r="J172" s="304"/>
      <c r="K172" s="302"/>
      <c r="L172" s="19"/>
      <c r="M172" s="19"/>
      <c r="N172" s="19"/>
      <c r="O172" s="19"/>
      <c r="P172" s="19"/>
      <c r="Q172" s="19"/>
      <c r="R172" s="19"/>
      <c r="S172" s="19"/>
      <c r="T172" s="19"/>
      <c r="U172" s="19"/>
    </row>
    <row r="173" spans="1:22" ht="141.75" customHeight="1" x14ac:dyDescent="0.45">
      <c r="A173" s="220"/>
      <c r="B173" s="322"/>
      <c r="C173" s="220"/>
      <c r="D173" s="310"/>
      <c r="E173" s="220"/>
      <c r="F173" s="220"/>
      <c r="G173" s="220"/>
      <c r="H173" s="220"/>
      <c r="I173" s="220"/>
      <c r="J173" s="220"/>
      <c r="K173" s="312"/>
      <c r="L173" s="19"/>
      <c r="M173" s="19"/>
      <c r="N173" s="19"/>
      <c r="O173" s="19"/>
      <c r="P173" s="19"/>
      <c r="Q173" s="19"/>
      <c r="R173" s="19"/>
      <c r="S173" s="19"/>
      <c r="T173" s="19"/>
      <c r="U173" s="19"/>
    </row>
    <row r="174" spans="1:22" s="33" customFormat="1" hidden="1" x14ac:dyDescent="0.45">
      <c r="A174" s="141" t="str">
        <f>Arbejdsark!A578</f>
        <v>GRUNDEN OG LOKALOMRÅDET</v>
      </c>
      <c r="B174" s="141"/>
      <c r="C174" s="141">
        <f>Arbejdsark!C578</f>
        <v>0</v>
      </c>
      <c r="D174" s="142">
        <f>Arbejdsark!D578</f>
        <v>0</v>
      </c>
      <c r="E174" s="141">
        <f>Arbejdsark!I578</f>
        <v>0</v>
      </c>
      <c r="F174" s="141">
        <f>Arbejdsark!J578</f>
        <v>0</v>
      </c>
      <c r="G174" s="141" t="e">
        <f>Arbejdsark!#REF!</f>
        <v>#REF!</v>
      </c>
      <c r="H174" s="141" t="e">
        <f>Arbejdsark!#REF!</f>
        <v>#REF!</v>
      </c>
      <c r="I174" s="141" t="e">
        <f>Arbejdsark!#REF!</f>
        <v>#REF!</v>
      </c>
      <c r="J174" s="143">
        <f>Arbejdsark!K578</f>
        <v>0</v>
      </c>
      <c r="K174" s="143"/>
      <c r="L174" s="143"/>
      <c r="M174" s="32"/>
      <c r="N174" s="32"/>
      <c r="O174" s="32"/>
      <c r="P174" s="32"/>
      <c r="Q174" s="32"/>
      <c r="R174" s="32"/>
      <c r="S174" s="32"/>
      <c r="T174" s="32"/>
      <c r="U174" s="32"/>
      <c r="V174" s="32"/>
    </row>
    <row r="175" spans="1:22" s="33" customFormat="1" ht="46.5" hidden="1" x14ac:dyDescent="0.45">
      <c r="A175" s="143" t="str">
        <f>A4</f>
        <v>Tema</v>
      </c>
      <c r="B175" s="143"/>
      <c r="C175" s="143" t="str">
        <f t="shared" ref="C175:H175" si="3">C4</f>
        <v>Emne</v>
      </c>
      <c r="D175" s="143" t="str">
        <f t="shared" si="3"/>
        <v>DGNB kriterium</v>
      </c>
      <c r="E175" s="143" t="str">
        <f t="shared" si="3"/>
        <v>Byggeudvalg eller Hovedbestyrelse</v>
      </c>
      <c r="F175" s="143" t="str">
        <f t="shared" si="3"/>
        <v>Projektleder</v>
      </c>
      <c r="G175" s="143" t="str">
        <f t="shared" si="3"/>
        <v>#REFERENCE!</v>
      </c>
      <c r="H175" s="143" t="str">
        <f t="shared" si="3"/>
        <v>Ikon</v>
      </c>
      <c r="I175" s="143" t="e">
        <f>#REF!</f>
        <v>#REF!</v>
      </c>
      <c r="J175" s="143" t="str">
        <f>I4</f>
        <v>Spørgsmål</v>
      </c>
      <c r="K175" s="143" t="str">
        <f>J4</f>
        <v>Svar</v>
      </c>
      <c r="L175" s="143" t="str">
        <f>K4</f>
        <v>Uddybende kommentarer</v>
      </c>
      <c r="M175" s="32"/>
      <c r="N175" s="32"/>
      <c r="O175" s="32"/>
      <c r="P175" s="32"/>
      <c r="Q175" s="32"/>
      <c r="R175" s="32"/>
      <c r="S175" s="32"/>
      <c r="T175" s="32"/>
      <c r="U175" s="32"/>
      <c r="V175" s="32"/>
    </row>
    <row r="176" spans="1:22" s="33" customFormat="1" hidden="1" x14ac:dyDescent="0.45">
      <c r="A176" s="143" t="str">
        <f>Arbejdsark!A579</f>
        <v>Kortlægning af risici</v>
      </c>
      <c r="B176" s="143"/>
      <c r="C176" s="143"/>
      <c r="D176" s="143"/>
      <c r="E176" s="143"/>
      <c r="F176" s="143"/>
      <c r="G176" s="143"/>
      <c r="H176" s="143"/>
      <c r="I176" s="144"/>
      <c r="J176" s="144"/>
      <c r="K176" s="144"/>
      <c r="L176" s="144"/>
      <c r="M176" s="32"/>
      <c r="N176" s="32"/>
      <c r="O176" s="32"/>
      <c r="P176" s="32"/>
      <c r="Q176" s="32"/>
      <c r="R176" s="32"/>
      <c r="S176" s="32"/>
      <c r="T176" s="32"/>
      <c r="U176" s="32"/>
      <c r="V176" s="32"/>
    </row>
    <row r="177" spans="1:22" ht="151.15" hidden="1" x14ac:dyDescent="0.45">
      <c r="A177" s="145"/>
      <c r="B177" s="145"/>
      <c r="C177" s="145" t="str">
        <f>Arbejdsark!C579</f>
        <v>Oversvømmelse</v>
      </c>
      <c r="D177" s="146" t="str">
        <f>Arbejdsark!D579</f>
        <v>SITE1.1 + (PRO1.3)</v>
      </c>
      <c r="E177" s="145">
        <f>Arbejdsark!I579</f>
        <v>0</v>
      </c>
      <c r="F177" s="145" t="str">
        <f>Arbejdsark!J579</f>
        <v>x</v>
      </c>
      <c r="G177" s="145" t="e">
        <f>Arbejdsark!#REF!</f>
        <v>#REF!</v>
      </c>
      <c r="H177" s="145" t="e">
        <f>Arbejdsark!#REF!</f>
        <v>#REF!</v>
      </c>
      <c r="I177" s="147" t="str">
        <f>Arbejdsark!K579</f>
        <v>Oversvømmelse kan have store konsekvenser for et byggeri. Der er derfor en økonomisk gevinst i at overveje risikoen for oversvømmelse, nu og i fremtiden, inden området, hvor bygningen skal opføres, udpeges. Kommer byggeriet til at ligge på en grund med risiko for oversvømmelse fra enten regnvand, spildevand eller havvand? Og stiller bygherre krav til særlige forebyggende foranstaltninger, som skal indarbejdes i projektet (for eksempel en hævet kote for byggeriets nederste etage, pumper og lignende)</v>
      </c>
      <c r="J177" s="147" t="e">
        <f>Arbejdsark!#REF!</f>
        <v>#REF!</v>
      </c>
      <c r="K177" s="147" t="e">
        <f>Arbejdsark!#REF!</f>
        <v>#REF!</v>
      </c>
      <c r="L177" s="147">
        <v>656</v>
      </c>
      <c r="M177" s="19"/>
      <c r="N177" s="19"/>
      <c r="O177" s="19"/>
      <c r="P177" s="19"/>
      <c r="Q177" s="19"/>
      <c r="R177" s="19"/>
      <c r="S177" s="19"/>
      <c r="T177" s="19"/>
      <c r="U177" s="19"/>
      <c r="V177" s="19"/>
    </row>
    <row r="178" spans="1:22" ht="139.5" hidden="1" x14ac:dyDescent="0.45">
      <c r="A178" s="145"/>
      <c r="B178" s="145"/>
      <c r="C178" s="145" t="str">
        <f>Arbejdsark!C584</f>
        <v>Jordbund - Erosionsrisiko og forurening</v>
      </c>
      <c r="D178" s="146" t="str">
        <f>Arbejdsark!D584</f>
        <v>SITE1.1 + (ENV2.3)</v>
      </c>
      <c r="E178" s="145">
        <f>Arbejdsark!I584</f>
        <v>0</v>
      </c>
      <c r="F178" s="145" t="str">
        <f>Arbejdsark!J584</f>
        <v>x</v>
      </c>
      <c r="G178" s="145" t="e">
        <f>Arbejdsark!#REF!</f>
        <v>#REF!</v>
      </c>
      <c r="H178" s="145" t="e">
        <f>Arbejdsark!#REF!</f>
        <v>#REF!</v>
      </c>
      <c r="I178" s="147" t="str">
        <f>Arbejdsark!K584</f>
        <v>Jordbundsforhold har betydning for, hvordan en bygning skal funderes og samtidig kan forurening i jorden have konsekvenser for miljø og sundhed. Ved stærk forurening skal jorden oprenses og fjernes. Der er derfor både en økonomisk og social gevinst i at undersøge jordbundsforholdene inden grunden udvælges. Har bygherre kendskab til jordbundsforholdene og er der risiko for at finde forurening i jorden eller at jorden eroderer (dvs. forsvinder over tid)?</v>
      </c>
      <c r="J178" s="147" t="str">
        <f>Arbejdsark!L584</f>
        <v>Udfyldes af projektleder</v>
      </c>
      <c r="K178" s="147" t="e">
        <f>Arbejdsark!#REF!</f>
        <v>#REF!</v>
      </c>
      <c r="L178" s="147">
        <v>661</v>
      </c>
      <c r="M178" s="19"/>
      <c r="N178" s="19"/>
      <c r="O178" s="19"/>
      <c r="P178" s="19"/>
      <c r="Q178" s="19"/>
      <c r="R178" s="19"/>
      <c r="S178" s="19"/>
      <c r="T178" s="19"/>
      <c r="U178" s="19"/>
      <c r="V178" s="19"/>
    </row>
    <row r="179" spans="1:22" ht="81.400000000000006" hidden="1" x14ac:dyDescent="0.45">
      <c r="A179" s="145"/>
      <c r="B179" s="145"/>
      <c r="C179" s="145" t="str">
        <f>Arbejdsark!C589</f>
        <v>Udeluftskvalitet</v>
      </c>
      <c r="D179" s="146" t="str">
        <f>Arbejdsark!D589</f>
        <v>SITE1.1</v>
      </c>
      <c r="E179" s="145" t="str">
        <f>Arbejdsark!I589</f>
        <v>x</v>
      </c>
      <c r="F179" s="145">
        <f>Arbejdsark!J589</f>
        <v>0</v>
      </c>
      <c r="G179" s="145" t="e">
        <f>Arbejdsark!#REF!</f>
        <v>#REF!</v>
      </c>
      <c r="H179" s="145" t="e">
        <f>Arbejdsark!#REF!</f>
        <v>#REF!</v>
      </c>
      <c r="I179" s="147" t="str">
        <f>Arbejdsark!K589</f>
        <v>Dårlig udeluftskvalitet kan have konsekvenser for brugernes sundhed og velbefindende. Der er derfor en social gevinst i at kortlægge udeluftskvaliteten i det område, hvor byggegrunden er placeret. Har bygherre kendskab til indholdet af finstøv, ozon og CO2 i udeluften?</v>
      </c>
      <c r="J179" s="147" t="e">
        <f>Arbejdsark!#REF!</f>
        <v>#REF!</v>
      </c>
      <c r="K179" s="147" t="e">
        <f>Arbejdsark!#REF!</f>
        <v>#REF!</v>
      </c>
      <c r="L179" s="147">
        <v>666</v>
      </c>
      <c r="M179" s="19"/>
      <c r="N179" s="19"/>
      <c r="O179" s="19"/>
      <c r="P179" s="19"/>
      <c r="Q179" s="19"/>
      <c r="R179" s="19"/>
      <c r="S179" s="19"/>
      <c r="T179" s="19"/>
      <c r="U179" s="19"/>
      <c r="V179" s="19"/>
    </row>
    <row r="180" spans="1:22" ht="104.65" hidden="1" x14ac:dyDescent="0.45">
      <c r="A180" s="145"/>
      <c r="B180" s="145"/>
      <c r="C180" s="145" t="str">
        <f>Arbejdsark!C594</f>
        <v>Støj</v>
      </c>
      <c r="D180" s="146" t="str">
        <f>Arbejdsark!D594</f>
        <v>SITE1.1</v>
      </c>
      <c r="E180" s="145" t="str">
        <f>Arbejdsark!I594</f>
        <v>x</v>
      </c>
      <c r="F180" s="145">
        <f>Arbejdsark!J594</f>
        <v>0</v>
      </c>
      <c r="G180" s="145" t="e">
        <f>Arbejdsark!#REF!</f>
        <v>#REF!</v>
      </c>
      <c r="H180" s="145" t="e">
        <f>Arbejdsark!#REF!</f>
        <v>#REF!</v>
      </c>
      <c r="I180" s="147" t="str">
        <f>Arbejdsark!K594</f>
        <v>Det udendørs støjniveau påvirker brugernes velbefindende og tilfredshed. Der er derfor en social gevinst i at kortlægge det udendørs støjniveau i det område, hvor byggegrunden er placeret. Er det udendørs støjniveau kortlagt for byggefeltet? Og er der særlige funktioner i byggeriet, som er følsomme overfor de registrerede støjniveauer?</v>
      </c>
      <c r="J180" s="147" t="e">
        <f>Arbejdsark!#REF!</f>
        <v>#REF!</v>
      </c>
      <c r="K180" s="147" t="e">
        <f>Arbejdsark!#REF!</f>
        <v>#REF!</v>
      </c>
      <c r="L180" s="147">
        <v>671</v>
      </c>
      <c r="M180" s="19"/>
      <c r="N180" s="19"/>
      <c r="O180" s="19"/>
      <c r="P180" s="19"/>
      <c r="Q180" s="19"/>
      <c r="R180" s="19"/>
      <c r="S180" s="19"/>
      <c r="T180" s="19"/>
      <c r="U180" s="19"/>
      <c r="V180" s="19"/>
    </row>
    <row r="181" spans="1:22" ht="409.5" hidden="1" x14ac:dyDescent="0.45">
      <c r="A181" s="145"/>
      <c r="B181" s="145"/>
      <c r="C181" s="145" t="str">
        <f>Arbejdsark!C599</f>
        <v>Radon</v>
      </c>
      <c r="D181" s="146" t="str">
        <f>Arbejdsark!D599</f>
        <v>SITE1.1</v>
      </c>
      <c r="E181" s="145" t="str">
        <f>Arbejdsark!I599</f>
        <v>x</v>
      </c>
      <c r="F181" s="145" t="str">
        <f>Arbejdsark!J599</f>
        <v>x</v>
      </c>
      <c r="G181" s="145" t="str">
        <f>Arbejdsark!K599</f>
        <v xml:space="preserve">Radon er naturligt fremkommende i undergrunden, men omfanget af radon, der udsiver fra jorden, og derved risikerer at trænge ind i boligen, afhænger af, hvor i landet man befinder sig. Høje koncentrationer af radon i boligen, som udsiver fra jorden, kan forøge risikoen for lunge- og luftvejsproblemer, og der er derved en social gevinst ved at kortlægge radonniveauet i det område, hvor byggegrunden er placeret. Hvilken radonklasse er byggefeltet eller området klassificeret som på http://boligejer.dk/guide-radon/0/26? Og forventes de valgte rådgivere at indarbejde særlige tiltag i projektet?
</v>
      </c>
      <c r="H181" s="145" t="e">
        <f>Arbejdsark!#REF!</f>
        <v>#REF!</v>
      </c>
      <c r="I181" s="147" t="e">
        <f>Arbejdsark!#REF!</f>
        <v>#REF!</v>
      </c>
      <c r="J181" s="147" t="e">
        <f>Arbejdsark!#REF!</f>
        <v>#REF!</v>
      </c>
      <c r="K181" s="147" t="e">
        <f>Arbejdsark!#REF!</f>
        <v>#REF!</v>
      </c>
      <c r="L181" s="147">
        <v>676</v>
      </c>
      <c r="M181" s="19"/>
      <c r="N181" s="19"/>
      <c r="O181" s="19"/>
      <c r="P181" s="19"/>
      <c r="Q181" s="19"/>
      <c r="R181" s="19"/>
      <c r="S181" s="19"/>
      <c r="T181" s="19"/>
      <c r="U181" s="19"/>
      <c r="V181" s="19"/>
    </row>
    <row r="182" spans="1:22" ht="69.75" hidden="1" x14ac:dyDescent="0.45">
      <c r="A182" s="145"/>
      <c r="B182" s="145"/>
      <c r="C182" s="145" t="str">
        <f>Arbejdsark!C606</f>
        <v>Elektromagnetisk stråling</v>
      </c>
      <c r="D182" s="146" t="str">
        <f>Arbejdsark!D606</f>
        <v>SITE1.1</v>
      </c>
      <c r="E182" s="145" t="str">
        <f>Arbejdsark!I606</f>
        <v>x</v>
      </c>
      <c r="F182" s="145" t="str">
        <f>Arbejdsark!J606</f>
        <v>x</v>
      </c>
      <c r="G182" s="145" t="e">
        <f>Arbejdsark!#REF!</f>
        <v>#REF!</v>
      </c>
      <c r="H182" s="145" t="e">
        <f>Arbejdsark!#REF!</f>
        <v>#REF!</v>
      </c>
      <c r="I182" s="147" t="e">
        <f>Arbejdsark!#REF!</f>
        <v>#REF!</v>
      </c>
      <c r="J182" s="145" t="s">
        <v>193</v>
      </c>
      <c r="K182" s="145"/>
      <c r="L182" s="145">
        <v>682</v>
      </c>
      <c r="M182" s="19"/>
      <c r="N182" s="19"/>
      <c r="O182" s="19"/>
      <c r="P182" s="19"/>
      <c r="Q182" s="19"/>
      <c r="R182" s="19"/>
      <c r="S182" s="19"/>
      <c r="T182" s="19"/>
      <c r="U182" s="19"/>
      <c r="V182" s="19"/>
    </row>
    <row r="183" spans="1:22" hidden="1" x14ac:dyDescent="0.45">
      <c r="A183" s="145"/>
      <c r="B183" s="145"/>
      <c r="C183" s="145">
        <f>Arbejdsark!C611</f>
        <v>0</v>
      </c>
      <c r="D183" s="146">
        <f>Arbejdsark!D611</f>
        <v>0</v>
      </c>
      <c r="E183" s="145">
        <f>Arbejdsark!I611</f>
        <v>0</v>
      </c>
      <c r="F183" s="145">
        <f>Arbejdsark!J611</f>
        <v>0</v>
      </c>
      <c r="G183" s="145" t="e">
        <f>Arbejdsark!#REF!</f>
        <v>#REF!</v>
      </c>
      <c r="H183" s="145" t="e">
        <f>Arbejdsark!#REF!</f>
        <v>#REF!</v>
      </c>
      <c r="I183" s="147" t="e">
        <f>Arbejdsark!#REF!</f>
        <v>#REF!</v>
      </c>
      <c r="J183" s="145">
        <f>Arbejdsark!K611</f>
        <v>0</v>
      </c>
      <c r="K183" s="145"/>
      <c r="L183" s="145"/>
      <c r="M183" s="19"/>
      <c r="N183" s="19"/>
      <c r="O183" s="19"/>
      <c r="P183" s="19"/>
      <c r="Q183" s="19"/>
      <c r="R183" s="19"/>
      <c r="S183" s="19"/>
      <c r="T183" s="19"/>
      <c r="U183" s="19"/>
      <c r="V183" s="19"/>
    </row>
    <row r="184" spans="1:22" hidden="1" x14ac:dyDescent="0.45">
      <c r="A184" s="145" t="str">
        <f>Arbejdsark!A612</f>
        <v>Image og tilstand</v>
      </c>
      <c r="B184" s="145"/>
      <c r="C184" s="145"/>
      <c r="D184" s="146"/>
      <c r="E184" s="145"/>
      <c r="F184" s="145"/>
      <c r="G184" s="145"/>
      <c r="H184" s="145"/>
      <c r="I184" s="147"/>
      <c r="J184" s="147"/>
      <c r="K184" s="147"/>
      <c r="L184" s="147"/>
      <c r="M184" s="19"/>
      <c r="N184" s="19"/>
      <c r="O184" s="19"/>
      <c r="P184" s="19"/>
      <c r="Q184" s="19"/>
      <c r="R184" s="19"/>
      <c r="S184" s="19"/>
      <c r="T184" s="19"/>
      <c r="U184" s="19"/>
      <c r="V184" s="19"/>
    </row>
    <row r="185" spans="1:22" ht="23.25" hidden="1" x14ac:dyDescent="0.45">
      <c r="A185" s="145"/>
      <c r="B185" s="145"/>
      <c r="C185" s="145" t="str">
        <f>Arbejdsark!C612</f>
        <v>Kortlægning</v>
      </c>
      <c r="D185" s="146" t="str">
        <f>Arbejdsark!D612</f>
        <v xml:space="preserve">SITE1.2
Vægtning: SITE1.2 50 % af pkt. 1 </v>
      </c>
      <c r="E185" s="145">
        <f>Arbejdsark!I612</f>
        <v>0</v>
      </c>
      <c r="F185" s="145" t="str">
        <f>Arbejdsark!J612</f>
        <v>x</v>
      </c>
      <c r="G185" s="145" t="e">
        <f>Arbejdsark!#REF!</f>
        <v>#REF!</v>
      </c>
      <c r="H185" s="145" t="e">
        <f>Arbejdsark!#REF!</f>
        <v>#REF!</v>
      </c>
      <c r="I185" s="147" t="e">
        <f>Arbejdsark!#REF!</f>
        <v>#REF!</v>
      </c>
      <c r="J185" s="147" t="e">
        <f>Arbejdsark!#REF!</f>
        <v>#REF!</v>
      </c>
      <c r="K185" s="147" t="e">
        <f>Arbejdsark!#REF!</f>
        <v>#REF!</v>
      </c>
      <c r="L185" s="147">
        <v>688</v>
      </c>
      <c r="M185" s="19"/>
      <c r="N185" s="19"/>
      <c r="O185" s="19"/>
      <c r="P185" s="19"/>
      <c r="Q185" s="19"/>
      <c r="R185" s="19"/>
      <c r="S185" s="19"/>
      <c r="T185" s="19"/>
      <c r="U185" s="19"/>
      <c r="V185" s="19"/>
    </row>
    <row r="186" spans="1:22" ht="116.25" hidden="1" x14ac:dyDescent="0.45">
      <c r="A186" s="145"/>
      <c r="B186" s="145"/>
      <c r="C186" s="145" t="str">
        <f>Arbejdsark!C621</f>
        <v>Stillingtagen til kriminalprævention</v>
      </c>
      <c r="D186" s="146" t="str">
        <f>Arbejdsark!D621</f>
        <v xml:space="preserve">SITE1.2
Vægtning: SITE1.2 50 % af pkt. 1 </v>
      </c>
      <c r="E186" s="145" t="str">
        <f>Arbejdsark!I621</f>
        <v>x</v>
      </c>
      <c r="F186" s="145" t="str">
        <f>Arbejdsark!J621</f>
        <v>x</v>
      </c>
      <c r="G186" s="145" t="e">
        <f>Arbejdsark!#REF!</f>
        <v>#REF!</v>
      </c>
      <c r="H186" s="145" t="e">
        <f>Arbejdsark!#REF!</f>
        <v>#REF!</v>
      </c>
      <c r="I186" s="147" t="str">
        <f>Arbejdsark!K621</f>
        <v>Kriminalitetsniveauet i området, hvor byggegrunden er placeret har stor betydning for, hvor attraktiv en bygning er, og har samtidig indflydelse på brugernes tryghed og sikkerhed. Der er derfor både en økonomisk og en social gevinst ved at kortlægge kriminaliteten i området, inden byggegrunden udpeges. Er området plaget af kriminalitet? Og skal der indarbejdes kriminalpræventive tiltag i projektet?</v>
      </c>
      <c r="J186" s="147" t="e">
        <f>Arbejdsark!#REF!</f>
        <v>#REF!</v>
      </c>
      <c r="K186" s="147" t="e">
        <f>Arbejdsark!#REF!</f>
        <v>#REF!</v>
      </c>
      <c r="L186" s="147">
        <v>697</v>
      </c>
      <c r="M186" s="19"/>
      <c r="N186" s="19"/>
      <c r="O186" s="19"/>
      <c r="P186" s="19"/>
      <c r="Q186" s="19"/>
      <c r="R186" s="19"/>
      <c r="S186" s="19"/>
      <c r="T186" s="19"/>
      <c r="U186" s="19"/>
      <c r="V186" s="19"/>
    </row>
    <row r="187" spans="1:22" ht="104.65" hidden="1" x14ac:dyDescent="0.45">
      <c r="A187" s="145"/>
      <c r="B187" s="145"/>
      <c r="C187" s="145" t="str">
        <f>Arbejdsark!C616</f>
        <v>Indflydelse/bidrag til forbedring</v>
      </c>
      <c r="D187" s="146" t="str">
        <f>Arbejdsark!D616</f>
        <v>SITE1.2
Vægtning: SITE1.2 50 % af pkt. 2</v>
      </c>
      <c r="E187" s="145" t="str">
        <f>Arbejdsark!I616</f>
        <v>x</v>
      </c>
      <c r="F187" s="145" t="str">
        <f>Arbejdsark!J616</f>
        <v>x</v>
      </c>
      <c r="G187" s="145" t="e">
        <f>Arbejdsark!#REF!</f>
        <v>#REF!</v>
      </c>
      <c r="H187" s="145" t="e">
        <f>Arbejdsark!#REF!</f>
        <v>#REF!</v>
      </c>
      <c r="I187" s="147" t="str">
        <f>Arbejdsark!K616</f>
        <v>Opførelse af en ny bygning kan bidrage til en forbedring af området, eksempelvis ved at gøre området attraktivt for en større befolkningsgruppe. Der er derfor en social gevinst ved at vælge et område, hvor bygningen kan have en positiv indflydelse på udviklingen. Hvor vigtigt er det, at projektet har en positiv indflydelse på udviklingen i området?</v>
      </c>
      <c r="J187" s="147" t="e">
        <f>Arbejdsark!#REF!</f>
        <v>#REF!</v>
      </c>
      <c r="K187" s="147" t="e">
        <f>Arbejdsark!#REF!</f>
        <v>#REF!</v>
      </c>
      <c r="L187" s="147">
        <v>692</v>
      </c>
      <c r="M187" s="19"/>
      <c r="N187" s="19"/>
      <c r="O187" s="19"/>
      <c r="P187" s="19"/>
      <c r="Q187" s="19"/>
      <c r="R187" s="19"/>
      <c r="S187" s="19"/>
      <c r="T187" s="19"/>
      <c r="U187" s="19"/>
      <c r="V187" s="19"/>
    </row>
    <row r="188" spans="1:22" ht="104.65" hidden="1" x14ac:dyDescent="0.45">
      <c r="A188" s="145"/>
      <c r="B188" s="145"/>
      <c r="C188" s="145" t="str">
        <f>Arbejdsark!C627</f>
        <v>Løsningskatalog med konkrete tiltag</v>
      </c>
      <c r="D188" s="146" t="str">
        <f>Arbejdsark!D627</f>
        <v>SITE1.2
Vægtning: SITE1.2 50 % af pkt. 2</v>
      </c>
      <c r="E188" s="145" t="str">
        <f>Arbejdsark!I627</f>
        <v>x</v>
      </c>
      <c r="F188" s="145" t="str">
        <f>Arbejdsark!J627</f>
        <v>x</v>
      </c>
      <c r="G188" s="145" t="e">
        <f>Arbejdsark!#REF!</f>
        <v>#REF!</v>
      </c>
      <c r="H188" s="145" t="e">
        <f>Arbejdsark!#REF!</f>
        <v>#REF!</v>
      </c>
      <c r="I188" s="147" t="str">
        <f>Arbejdsark!K627</f>
        <v>Det betragtes positivt for bæredygtigheden i området, hvis der i forbindelse med udpegning af byggegrunden udarbejdes et løsningskatalog med konkrete tiltag til, hvordan bygningen kan bidrage positivt til områdets udvikling. Skal rådgiver udarbejde et løsningskatalog, der beskriver hvordan projektet bidrager positivt til områdets udvikling?</v>
      </c>
      <c r="J188" s="147" t="e">
        <f>Arbejdsark!#REF!</f>
        <v>#REF!</v>
      </c>
      <c r="K188" s="147" t="e">
        <f>Arbejdsark!#REF!</f>
        <v>#REF!</v>
      </c>
      <c r="L188" s="147">
        <v>703</v>
      </c>
      <c r="M188" s="19"/>
      <c r="N188" s="19"/>
      <c r="O188" s="19"/>
      <c r="P188" s="19"/>
      <c r="Q188" s="19"/>
      <c r="R188" s="19"/>
      <c r="S188" s="19"/>
      <c r="T188" s="19"/>
      <c r="U188" s="19"/>
      <c r="V188" s="19"/>
    </row>
    <row r="189" spans="1:22" hidden="1" x14ac:dyDescent="0.45">
      <c r="A189" s="145"/>
      <c r="B189" s="145"/>
      <c r="C189" s="145">
        <f>Arbejdsark!C632</f>
        <v>0</v>
      </c>
      <c r="D189" s="146">
        <f>Arbejdsark!D632</f>
        <v>0</v>
      </c>
      <c r="E189" s="145">
        <f>Arbejdsark!I632</f>
        <v>0</v>
      </c>
      <c r="F189" s="145">
        <f>Arbejdsark!J632</f>
        <v>0</v>
      </c>
      <c r="G189" s="145" t="e">
        <f>Arbejdsark!#REF!</f>
        <v>#REF!</v>
      </c>
      <c r="H189" s="145" t="e">
        <f>Arbejdsark!#REF!</f>
        <v>#REF!</v>
      </c>
      <c r="I189" s="147" t="e">
        <f>Arbejdsark!#REF!</f>
        <v>#REF!</v>
      </c>
      <c r="J189" s="145">
        <f>Arbejdsark!K632</f>
        <v>0</v>
      </c>
      <c r="K189" s="145"/>
      <c r="L189" s="145"/>
      <c r="M189" s="19"/>
      <c r="N189" s="19"/>
      <c r="O189" s="19"/>
      <c r="P189" s="19"/>
      <c r="Q189" s="19"/>
      <c r="R189" s="19"/>
      <c r="S189" s="19"/>
      <c r="T189" s="19"/>
      <c r="U189" s="19"/>
      <c r="V189" s="19"/>
    </row>
    <row r="190" spans="1:22" hidden="1" x14ac:dyDescent="0.45">
      <c r="A190" s="145" t="str">
        <f>Arbejdsark!A633</f>
        <v>Trafikforhold</v>
      </c>
      <c r="B190" s="145"/>
      <c r="C190" s="145"/>
      <c r="D190" s="146"/>
      <c r="E190" s="145"/>
      <c r="F190" s="145"/>
      <c r="G190" s="145"/>
      <c r="H190" s="145"/>
      <c r="I190" s="147"/>
      <c r="J190" s="147"/>
      <c r="K190" s="147"/>
      <c r="L190" s="147"/>
      <c r="M190" s="19"/>
      <c r="N190" s="19"/>
      <c r="O190" s="19"/>
      <c r="P190" s="19"/>
      <c r="Q190" s="19"/>
      <c r="R190" s="19"/>
      <c r="S190" s="19"/>
      <c r="T190" s="19"/>
      <c r="U190" s="19"/>
      <c r="V190" s="19"/>
    </row>
    <row r="191" spans="1:22" ht="127.9" hidden="1" x14ac:dyDescent="0.45">
      <c r="A191" s="145"/>
      <c r="B191" s="145"/>
      <c r="C191" s="145" t="str">
        <f>Arbejdsark!C633</f>
        <v>Adgangsveje - Bil, cykel og offentlig transport</v>
      </c>
      <c r="D191" s="146" t="str">
        <f>Arbejdsark!D633</f>
        <v xml:space="preserve">SITE1.3 + (SOC2.3 + SOC1.7)
Vægtning: SITE1.3  pkt. 1 + 2 + 3 </v>
      </c>
      <c r="E191" s="145" t="str">
        <f>Arbejdsark!I633</f>
        <v>x</v>
      </c>
      <c r="F191" s="145">
        <f>Arbejdsark!J633</f>
        <v>0</v>
      </c>
      <c r="G191" s="145" t="e">
        <f>Arbejdsark!#REF!</f>
        <v>#REF!</v>
      </c>
      <c r="H191" s="145" t="e">
        <f>Arbejdsark!#REF!</f>
        <v>#REF!</v>
      </c>
      <c r="I191" s="147" t="str">
        <f>Arbejdsark!K633</f>
        <v>Gode adgangsforhold for bil, cykel og offentlig transport har betydning for et områdes attraktivitet. Der er en økonomisk fordel ved at vælge en byggegrund med god adgang for trafik, da dette er med til at forøge bygningens værdi. Hvordan er adgangsveje og stiforbindelser i området for personbiler, cyklister og forgængere? Og er der krav til håndtering af personbiler, varelevering, cyklister og fodgængere, der skal overholdes i projektet?</v>
      </c>
      <c r="J191" s="147" t="e">
        <f>Arbejdsark!#REF!</f>
        <v>#REF!</v>
      </c>
      <c r="K191" s="147" t="e">
        <f>Arbejdsark!#REF!</f>
        <v>#REF!</v>
      </c>
      <c r="L191" s="147">
        <v>709</v>
      </c>
      <c r="M191" s="19"/>
      <c r="N191" s="19"/>
      <c r="O191" s="19"/>
      <c r="P191" s="19"/>
      <c r="Q191" s="19"/>
      <c r="R191" s="19"/>
      <c r="S191" s="19"/>
      <c r="T191" s="19"/>
      <c r="U191" s="19"/>
      <c r="V191" s="19"/>
    </row>
    <row r="192" spans="1:22" ht="93" hidden="1" x14ac:dyDescent="0.45">
      <c r="A192" s="145"/>
      <c r="B192" s="145"/>
      <c r="C192" s="145" t="str">
        <f>Arbejdsark!C638</f>
        <v>Parkering - Biler, Handicap og cykler</v>
      </c>
      <c r="D192" s="146" t="str">
        <f>Arbejdsark!D638</f>
        <v>SITE1.3 + (SOC2.3 + SOC1.7)
Vægtning: SITE1.3  pkt. 5</v>
      </c>
      <c r="E192" s="145" t="str">
        <f>Arbejdsark!I638</f>
        <v>x</v>
      </c>
      <c r="F192" s="145">
        <f>Arbejdsark!J638</f>
        <v>0</v>
      </c>
      <c r="G192" s="145" t="e">
        <f>Arbejdsark!#REF!</f>
        <v>#REF!</v>
      </c>
      <c r="H192" s="145" t="e">
        <f>Arbejdsark!#REF!</f>
        <v>#REF!</v>
      </c>
      <c r="I192" s="147" t="str">
        <f>Arbejdsark!K638</f>
        <v xml:space="preserve">Gode parkeringsmuligheder for bil, cykel og handikapparkering har betydning for et områdes attraktivitet. Der er en økonomisk fordel ved at vælge en byggegrund med gode parkeringsforhold, da dette er med til at forøge bygningens værdi. Hvilke krav stiller projektet til parkeringsmuligheder for personbiler, cykler og handikapkøretøjer. </v>
      </c>
      <c r="J192" s="147" t="e">
        <f>Arbejdsark!#REF!</f>
        <v>#REF!</v>
      </c>
      <c r="K192" s="147" t="e">
        <f>Arbejdsark!#REF!</f>
        <v>#REF!</v>
      </c>
      <c r="L192" s="147">
        <v>714</v>
      </c>
      <c r="M192" s="19"/>
      <c r="N192" s="19"/>
      <c r="O192" s="19"/>
      <c r="P192" s="19"/>
      <c r="Q192" s="19"/>
      <c r="R192" s="19"/>
      <c r="S192" s="19"/>
      <c r="T192" s="19"/>
      <c r="U192" s="19"/>
      <c r="V192" s="19"/>
    </row>
    <row r="193" spans="1:22" ht="116.25" hidden="1" x14ac:dyDescent="0.45">
      <c r="A193" s="145"/>
      <c r="B193" s="145"/>
      <c r="C193" s="145" t="str">
        <f>Arbejdsark!C643</f>
        <v>Faciliteter (ladestandere, bilvask, "kiss'n'ride")</v>
      </c>
      <c r="D193" s="146" t="str">
        <f>Arbejdsark!D643</f>
        <v>SITE1.3
Vægtning: SITE1.3  pkt. 6</v>
      </c>
      <c r="E193" s="145" t="str">
        <f>Arbejdsark!I643</f>
        <v>x</v>
      </c>
      <c r="F193" s="145">
        <f>Arbejdsark!J643</f>
        <v>0</v>
      </c>
      <c r="G193" s="145" t="e">
        <f>Arbejdsark!#REF!</f>
        <v>#REF!</v>
      </c>
      <c r="H193" s="145" t="e">
        <f>Arbejdsark!#REF!</f>
        <v>#REF!</v>
      </c>
      <c r="I193" s="147" t="str">
        <f>Arbejdsark!K643</f>
        <v xml:space="preserve">Gode faciliteter for bilister, eksempelvis ladestandere til elbiler, bilvask og afsætningsområder ("kiss'n'ride") er medvirkende til at øge områdets attraktivitet. Der er en økonomisk fordel ved at vælge en byggegrund med gode parkeringsforhold, da dette er med til at forøge bygningens værdi. Hvilke faciliteter ønsker bygherre eller Kommunen, der indarbejdes i projektet for bilister? </v>
      </c>
      <c r="J193" s="147" t="e">
        <f>Arbejdsark!#REF!</f>
        <v>#REF!</v>
      </c>
      <c r="K193" s="147" t="e">
        <f>Arbejdsark!#REF!</f>
        <v>#REF!</v>
      </c>
      <c r="L193" s="147">
        <v>719</v>
      </c>
      <c r="M193" s="19"/>
      <c r="N193" s="19"/>
      <c r="O193" s="19"/>
      <c r="P193" s="19"/>
      <c r="Q193" s="19"/>
      <c r="R193" s="19"/>
      <c r="S193" s="19"/>
      <c r="T193" s="19"/>
      <c r="U193" s="19"/>
      <c r="V193" s="19"/>
    </row>
    <row r="194" spans="1:22" hidden="1" x14ac:dyDescent="0.45">
      <c r="A194" s="145"/>
      <c r="B194" s="145"/>
      <c r="C194" s="145">
        <f>Arbejdsark!C647</f>
        <v>0</v>
      </c>
      <c r="D194" s="146">
        <f>Arbejdsark!D647</f>
        <v>0</v>
      </c>
      <c r="E194" s="145">
        <f>Arbejdsark!I647</f>
        <v>0</v>
      </c>
      <c r="F194" s="145">
        <f>Arbejdsark!J647</f>
        <v>0</v>
      </c>
      <c r="G194" s="145" t="e">
        <f>Arbejdsark!#REF!</f>
        <v>#REF!</v>
      </c>
      <c r="H194" s="145" t="e">
        <f>Arbejdsark!#REF!</f>
        <v>#REF!</v>
      </c>
      <c r="I194" s="147" t="e">
        <f>Arbejdsark!#REF!</f>
        <v>#REF!</v>
      </c>
      <c r="J194" s="147">
        <f>Arbejdsark!K647</f>
        <v>0</v>
      </c>
      <c r="K194" s="147">
        <f>Arbejdsark!L647</f>
        <v>0</v>
      </c>
      <c r="L194" s="147">
        <f>Arbejdsark!M647</f>
        <v>0</v>
      </c>
      <c r="M194" s="19"/>
      <c r="N194" s="19"/>
      <c r="O194" s="19"/>
      <c r="P194" s="19"/>
      <c r="Q194" s="19"/>
      <c r="R194" s="19"/>
      <c r="S194" s="19"/>
      <c r="T194" s="19"/>
      <c r="U194" s="19"/>
      <c r="V194" s="19"/>
    </row>
    <row r="195" spans="1:22" hidden="1" x14ac:dyDescent="0.45">
      <c r="A195" s="145" t="str">
        <f>Arbejdsark!A648</f>
        <v>Servicefunktioner</v>
      </c>
      <c r="B195" s="145"/>
      <c r="C195" s="145"/>
      <c r="D195" s="146"/>
      <c r="E195" s="145"/>
      <c r="F195" s="145"/>
      <c r="G195" s="145"/>
      <c r="H195" s="145"/>
      <c r="I195" s="147"/>
      <c r="J195" s="147"/>
      <c r="K195" s="147"/>
      <c r="L195" s="147"/>
      <c r="M195" s="19"/>
      <c r="N195" s="19"/>
      <c r="O195" s="19"/>
      <c r="P195" s="19"/>
      <c r="Q195" s="19"/>
      <c r="R195" s="19"/>
      <c r="S195" s="19"/>
      <c r="T195" s="19"/>
      <c r="U195" s="19"/>
      <c r="V195" s="19"/>
    </row>
    <row r="196" spans="1:22" ht="267.39999999999998" hidden="1" x14ac:dyDescent="0.45">
      <c r="A196" s="145"/>
      <c r="B196" s="145"/>
      <c r="C196" s="145" t="str">
        <f>Arbejdsark!C648</f>
        <v>Kortlægning i området</v>
      </c>
      <c r="D196" s="146" t="str">
        <f>Arbejdsark!D648</f>
        <v>SITE1.4</v>
      </c>
      <c r="E196" s="145" t="str">
        <f>Arbejdsark!I648</f>
        <v>x</v>
      </c>
      <c r="F196" s="145">
        <f>Arbejdsark!J648</f>
        <v>0</v>
      </c>
      <c r="G196" s="145" t="e">
        <f>Arbejdsark!#REF!</f>
        <v>#REF!</v>
      </c>
      <c r="H196" s="145" t="e">
        <f>Arbejdsark!#REF!</f>
        <v>#REF!</v>
      </c>
      <c r="I196" s="147" t="str">
        <f>Arbejdsark!K648</f>
        <v xml:space="preserve">God adgang til servicefunktioner i området, herunder skoler, indkøbsmuligheder, fitnesscentre etc., er medvirkende til at gøre et område mere attraktivt. Der er derfor en økonomisk fordel ved at vælge en byggegrund, der ligger i nærheden af sådanne servicefunktioner. Ligger byggeriet tæt på eller langt fra følgende servicefunktioner:
1. Spisesteder eller et bageri
2. Butikker, der sælger fødevarer eller et apotek
4. Uddannelse eller børnepasningsmuligheder
5. Offentlige administrationsbygninger, der yder borgerservice eller andre offentlige faciliteter
6. Sundhedsfaciliteter så som læge, kiropraktor, genoptræningsklinik
7. Sportsfaciliteter så som fitnescenter, stadionanlæg, sportsklubber
8. Posthus, bank, skræddere, tømmere mv.?
</v>
      </c>
      <c r="J196" s="147" t="e">
        <f>Arbejdsark!#REF!</f>
        <v>#REF!</v>
      </c>
      <c r="K196" s="147" t="e">
        <f>Arbejdsark!#REF!</f>
        <v>#REF!</v>
      </c>
      <c r="L196" s="147">
        <v>724</v>
      </c>
      <c r="M196" s="19"/>
      <c r="N196" s="19"/>
      <c r="O196" s="19"/>
      <c r="P196" s="19"/>
      <c r="Q196" s="19"/>
      <c r="R196" s="19"/>
      <c r="S196" s="19"/>
      <c r="T196" s="19"/>
      <c r="U196" s="19"/>
      <c r="V196" s="19"/>
    </row>
    <row r="197" spans="1:22" ht="127.9" hidden="1" x14ac:dyDescent="0.45">
      <c r="A197" s="145"/>
      <c r="B197" s="145"/>
      <c r="C197" s="145"/>
      <c r="D197" s="146" t="e">
        <f>Arbejdsark!#REF!</f>
        <v>#REF!</v>
      </c>
      <c r="E197" s="145" t="e">
        <f>Arbejdsark!#REF!</f>
        <v>#REF!</v>
      </c>
      <c r="F197" s="145" t="e">
        <f>Arbejdsark!#REF!</f>
        <v>#REF!</v>
      </c>
      <c r="G197" s="145" t="e">
        <f>Arbejdsark!#REF!</f>
        <v>#REF!</v>
      </c>
      <c r="H197" s="145" t="e">
        <f>Arbejdsark!#REF!</f>
        <v>#REF!</v>
      </c>
      <c r="I197" s="147" t="str">
        <f>Arbejdsark!K649</f>
        <v>God adgang til servicefunktioner i området, herunder skoler, indkøbsmuligheder, fitnesscentre etc., er medvirkende til at gøre et område mere attraktivt. Der er derfor en økonomisk fordel ved at vælge en byggegrund, der ligger i nærheden af sådanne servicefunktioner. Ligger byggeriet tæt på et eller flere fritidstilbud (eksempelvis biblioteker, biografer, svømmebade, danseskoler, billedskoler, bowlinghal)?</v>
      </c>
      <c r="J197" s="145" t="e">
        <f>Arbejdsark!#REF!</f>
        <v>#REF!</v>
      </c>
      <c r="K197" s="145"/>
      <c r="L197" s="145"/>
      <c r="M197" s="19"/>
      <c r="N197" s="19"/>
      <c r="O197" s="19"/>
      <c r="P197" s="19"/>
      <c r="Q197" s="19"/>
      <c r="R197" s="19"/>
      <c r="S197" s="19"/>
      <c r="T197" s="19"/>
      <c r="U197" s="19"/>
      <c r="V197" s="19"/>
    </row>
    <row r="198" spans="1:22" ht="409.5" hidden="1" x14ac:dyDescent="0.45">
      <c r="A198" s="145"/>
      <c r="B198" s="145"/>
      <c r="C198" s="145">
        <f>Arbejdsark!C650</f>
        <v>0</v>
      </c>
      <c r="D198" s="146">
        <f>Arbejdsark!D650</f>
        <v>0</v>
      </c>
      <c r="E198" s="145">
        <f>Arbejdsark!I650</f>
        <v>0</v>
      </c>
      <c r="F198" s="145">
        <f>Arbejdsark!J650</f>
        <v>0</v>
      </c>
      <c r="G198" s="145" t="str">
        <f>Arbejdsark!K650</f>
        <v xml:space="preserve">God adgang til servicefunktioner i området, herunder skoler, indkøbsmuligheder, fitnesscentre etc., er medvirkende til at gøre et område mere attraktivt. Der er derfor en økonomisk fordel ved at vælge en byggegrund, der ligger i nærheden af sådanne servicefunktioner. Stiller bygherre krav om, at der skal indarbejdes servicefunktioner i byggeriet eller på byggegrunden? </v>
      </c>
      <c r="H198" s="145" t="e">
        <f>Arbejdsark!#REF!</f>
        <v>#REF!</v>
      </c>
      <c r="I198" s="147" t="e">
        <f>Arbejdsark!#REF!</f>
        <v>#REF!</v>
      </c>
      <c r="J198" s="145" t="e">
        <f>Arbejdsark!#REF!</f>
        <v>#REF!</v>
      </c>
      <c r="K198" s="145"/>
      <c r="L198" s="145">
        <v>726</v>
      </c>
      <c r="M198" s="19"/>
      <c r="N198" s="19"/>
      <c r="O198" s="19"/>
      <c r="P198" s="19"/>
      <c r="Q198" s="19"/>
      <c r="R198" s="19"/>
      <c r="S198" s="19"/>
      <c r="T198" s="19"/>
      <c r="U198" s="19"/>
      <c r="V198" s="19"/>
    </row>
    <row r="199" spans="1:22" hidden="1" x14ac:dyDescent="0.45">
      <c r="A199" s="23"/>
      <c r="B199" s="23"/>
      <c r="C199" s="23">
        <f>Arbejdsark!C651</f>
        <v>0</v>
      </c>
      <c r="D199" s="24">
        <f>Arbejdsark!D651</f>
        <v>0</v>
      </c>
      <c r="E199" s="23">
        <f>Arbejdsark!I651</f>
        <v>0</v>
      </c>
      <c r="F199" s="23">
        <f>Arbejdsark!J651</f>
        <v>0</v>
      </c>
      <c r="G199" s="23" t="e">
        <f>Arbejdsark!#REF!</f>
        <v>#REF!</v>
      </c>
      <c r="H199" s="23" t="e">
        <f>Arbejdsark!#REF!</f>
        <v>#REF!</v>
      </c>
      <c r="I199" s="25" t="e">
        <f>Arbejdsark!#REF!</f>
        <v>#REF!</v>
      </c>
      <c r="J199" s="23">
        <f>Arbejdsark!K651</f>
        <v>0</v>
      </c>
      <c r="K199" s="23"/>
      <c r="L199" s="23"/>
      <c r="M199" s="19"/>
      <c r="N199" s="19"/>
      <c r="O199" s="19"/>
      <c r="P199" s="19"/>
      <c r="Q199" s="19"/>
      <c r="R199" s="19"/>
      <c r="S199" s="19"/>
      <c r="T199" s="19"/>
      <c r="U199" s="19"/>
      <c r="V199" s="19"/>
    </row>
    <row r="200" spans="1:22" hidden="1" x14ac:dyDescent="0.45">
      <c r="A200" s="23"/>
      <c r="B200" s="23"/>
      <c r="C200" s="23">
        <f>Arbejdsark!C652</f>
        <v>0</v>
      </c>
      <c r="D200" s="24">
        <f>Arbejdsark!D652</f>
        <v>0</v>
      </c>
      <c r="E200" s="23">
        <f>Arbejdsark!I652</f>
        <v>0</v>
      </c>
      <c r="F200" s="23">
        <f>Arbejdsark!J652</f>
        <v>0</v>
      </c>
      <c r="G200" s="23" t="e">
        <f>Arbejdsark!#REF!</f>
        <v>#REF!</v>
      </c>
      <c r="H200" s="23" t="e">
        <f>Arbejdsark!#REF!</f>
        <v>#REF!</v>
      </c>
      <c r="I200" s="25" t="e">
        <f>Arbejdsark!#REF!</f>
        <v>#REF!</v>
      </c>
      <c r="J200" s="23">
        <f>Arbejdsark!K652</f>
        <v>0</v>
      </c>
      <c r="K200" s="23"/>
      <c r="L200" s="23"/>
      <c r="M200" s="19"/>
      <c r="N200" s="19"/>
      <c r="O200" s="19"/>
      <c r="P200" s="19"/>
      <c r="Q200" s="19"/>
      <c r="R200" s="19"/>
      <c r="S200" s="19"/>
      <c r="T200" s="19"/>
      <c r="U200" s="19"/>
      <c r="V200" s="19"/>
    </row>
    <row r="201" spans="1:22" hidden="1" x14ac:dyDescent="0.45">
      <c r="A201" s="23"/>
      <c r="B201" s="23"/>
      <c r="C201" s="23">
        <f>Arbejdsark!C653</f>
        <v>0</v>
      </c>
      <c r="D201" s="24">
        <f>Arbejdsark!D653</f>
        <v>0</v>
      </c>
      <c r="E201" s="23">
        <f>Arbejdsark!I653</f>
        <v>0</v>
      </c>
      <c r="F201" s="23">
        <f>Arbejdsark!J653</f>
        <v>0</v>
      </c>
      <c r="G201" s="23" t="e">
        <f>Arbejdsark!#REF!</f>
        <v>#REF!</v>
      </c>
      <c r="H201" s="23" t="e">
        <f>Arbejdsark!#REF!</f>
        <v>#REF!</v>
      </c>
      <c r="I201" s="25" t="e">
        <f>Arbejdsark!#REF!</f>
        <v>#REF!</v>
      </c>
      <c r="J201" s="23">
        <f>Arbejdsark!K653</f>
        <v>0</v>
      </c>
      <c r="K201" s="23"/>
      <c r="L201" s="23"/>
      <c r="M201" s="19"/>
      <c r="N201" s="19"/>
      <c r="O201" s="19"/>
      <c r="P201" s="19"/>
      <c r="Q201" s="19"/>
      <c r="R201" s="19"/>
      <c r="S201" s="19"/>
      <c r="T201" s="19"/>
      <c r="U201" s="19"/>
      <c r="V201" s="19"/>
    </row>
    <row r="202" spans="1:22" x14ac:dyDescent="0.45">
      <c r="A202" s="26"/>
      <c r="B202" s="26"/>
      <c r="C202" s="26"/>
      <c r="D202" s="26"/>
      <c r="E202" s="26"/>
      <c r="F202" s="26"/>
      <c r="G202" s="26"/>
      <c r="H202" s="26"/>
      <c r="I202" s="26"/>
      <c r="J202" s="26"/>
      <c r="K202" s="26"/>
      <c r="L202" s="26"/>
    </row>
    <row r="203" spans="1:22" x14ac:dyDescent="0.45">
      <c r="A203" s="26"/>
      <c r="B203" s="26"/>
      <c r="C203" s="26"/>
      <c r="D203" s="26"/>
      <c r="E203" s="26"/>
      <c r="F203" s="26"/>
      <c r="G203" s="26"/>
      <c r="H203" s="26"/>
      <c r="I203" s="26"/>
      <c r="J203" s="26"/>
      <c r="K203" s="26"/>
      <c r="L203" s="26"/>
    </row>
    <row r="204" spans="1:22" x14ac:dyDescent="0.45">
      <c r="A204" s="26"/>
      <c r="B204" s="26"/>
      <c r="C204" s="26"/>
      <c r="D204" s="26"/>
      <c r="E204" s="26"/>
      <c r="F204" s="26"/>
      <c r="G204" s="26"/>
      <c r="H204" s="26"/>
      <c r="I204" s="26"/>
      <c r="J204" s="26"/>
      <c r="K204" s="26"/>
      <c r="L204" s="26"/>
    </row>
    <row r="205" spans="1:22" x14ac:dyDescent="0.45">
      <c r="A205" s="26"/>
      <c r="B205" s="26"/>
      <c r="C205" s="26"/>
      <c r="D205" s="26"/>
      <c r="E205" s="26"/>
      <c r="F205" s="26"/>
      <c r="G205" s="26"/>
      <c r="H205" s="26"/>
      <c r="I205" s="26"/>
      <c r="J205" s="26"/>
      <c r="K205" s="26"/>
      <c r="L205" s="26"/>
    </row>
    <row r="206" spans="1:22" x14ac:dyDescent="0.45">
      <c r="A206" s="26"/>
      <c r="B206" s="26"/>
      <c r="C206" s="26"/>
      <c r="D206" s="26"/>
      <c r="E206" s="26"/>
      <c r="F206" s="26"/>
      <c r="G206" s="26"/>
      <c r="H206" s="26"/>
      <c r="I206" s="26"/>
      <c r="J206" s="26"/>
      <c r="K206" s="26"/>
      <c r="L206" s="26"/>
    </row>
    <row r="207" spans="1:22" x14ac:dyDescent="0.45">
      <c r="A207" s="26"/>
      <c r="B207" s="26"/>
      <c r="C207" s="26"/>
      <c r="D207" s="26"/>
      <c r="E207" s="26"/>
      <c r="F207" s="26"/>
      <c r="G207" s="26"/>
      <c r="H207" s="26"/>
      <c r="I207" s="26"/>
      <c r="J207" s="26"/>
      <c r="K207" s="26"/>
      <c r="L207" s="26"/>
    </row>
    <row r="208" spans="1:22" x14ac:dyDescent="0.45">
      <c r="A208" s="26"/>
      <c r="B208" s="26"/>
      <c r="C208" s="26"/>
      <c r="D208" s="26"/>
      <c r="E208" s="26"/>
      <c r="F208" s="26"/>
      <c r="G208" s="26"/>
      <c r="H208" s="26"/>
      <c r="I208" s="26"/>
      <c r="J208" s="26"/>
      <c r="K208" s="26"/>
      <c r="L208" s="26"/>
    </row>
    <row r="209" spans="1:12" x14ac:dyDescent="0.45">
      <c r="A209" s="26"/>
      <c r="B209" s="26"/>
      <c r="C209" s="26"/>
      <c r="D209" s="26"/>
      <c r="E209" s="26"/>
      <c r="F209" s="26"/>
      <c r="G209" s="26"/>
      <c r="H209" s="26"/>
      <c r="I209" s="26"/>
      <c r="J209" s="26"/>
      <c r="K209" s="26"/>
      <c r="L209" s="26"/>
    </row>
    <row r="210" spans="1:12" x14ac:dyDescent="0.45">
      <c r="A210" s="26"/>
      <c r="B210" s="26"/>
      <c r="C210" s="26"/>
      <c r="D210" s="26"/>
      <c r="E210" s="26"/>
      <c r="F210" s="26"/>
      <c r="G210" s="26"/>
      <c r="H210" s="26"/>
      <c r="I210" s="26"/>
      <c r="J210" s="26"/>
      <c r="K210" s="26"/>
      <c r="L210" s="26"/>
    </row>
    <row r="211" spans="1:12" x14ac:dyDescent="0.45">
      <c r="A211" s="26"/>
      <c r="B211" s="26"/>
      <c r="C211" s="26"/>
      <c r="D211" s="26"/>
      <c r="E211" s="26"/>
      <c r="F211" s="26"/>
      <c r="G211" s="26"/>
      <c r="H211" s="26"/>
      <c r="I211" s="26"/>
      <c r="J211" s="26"/>
      <c r="K211" s="26"/>
      <c r="L211" s="26"/>
    </row>
    <row r="212" spans="1:12" x14ac:dyDescent="0.45">
      <c r="A212" s="26"/>
      <c r="B212" s="26"/>
      <c r="C212" s="26"/>
      <c r="D212" s="26"/>
      <c r="E212" s="26"/>
      <c r="F212" s="26"/>
      <c r="G212" s="26"/>
      <c r="H212" s="26"/>
      <c r="I212" s="26"/>
      <c r="J212" s="26"/>
      <c r="K212" s="26"/>
      <c r="L212" s="26"/>
    </row>
    <row r="213" spans="1:12" x14ac:dyDescent="0.45">
      <c r="A213" s="26"/>
      <c r="B213" s="26"/>
      <c r="C213" s="26"/>
      <c r="D213" s="26"/>
      <c r="E213" s="26"/>
      <c r="F213" s="26"/>
      <c r="G213" s="26"/>
      <c r="H213" s="26"/>
      <c r="I213" s="26"/>
      <c r="J213" s="26"/>
      <c r="K213" s="26"/>
      <c r="L213" s="26"/>
    </row>
    <row r="214" spans="1:12" x14ac:dyDescent="0.45">
      <c r="A214" s="26"/>
      <c r="B214" s="26"/>
      <c r="C214" s="26"/>
      <c r="D214" s="26"/>
      <c r="E214" s="26"/>
      <c r="F214" s="26"/>
      <c r="G214" s="26"/>
      <c r="H214" s="26"/>
      <c r="I214" s="26"/>
      <c r="J214" s="26"/>
      <c r="K214" s="26"/>
      <c r="L214" s="26"/>
    </row>
    <row r="215" spans="1:12" x14ac:dyDescent="0.45">
      <c r="A215" s="26"/>
      <c r="B215" s="26"/>
      <c r="C215" s="26"/>
      <c r="D215" s="26"/>
      <c r="E215" s="26"/>
      <c r="F215" s="26"/>
      <c r="G215" s="26"/>
      <c r="H215" s="26"/>
      <c r="I215" s="26"/>
      <c r="J215" s="26"/>
      <c r="K215" s="26"/>
      <c r="L215" s="26"/>
    </row>
    <row r="216" spans="1:12" x14ac:dyDescent="0.45">
      <c r="A216" s="26"/>
      <c r="B216" s="26"/>
      <c r="C216" s="26"/>
      <c r="D216" s="26"/>
      <c r="E216" s="26"/>
      <c r="F216" s="26"/>
      <c r="G216" s="26"/>
      <c r="H216" s="26"/>
      <c r="I216" s="26"/>
      <c r="J216" s="26"/>
      <c r="K216" s="26"/>
      <c r="L216" s="26"/>
    </row>
    <row r="217" spans="1:12" x14ac:dyDescent="0.45">
      <c r="A217" s="26"/>
      <c r="B217" s="26"/>
      <c r="C217" s="26"/>
      <c r="D217" s="26"/>
      <c r="E217" s="26"/>
      <c r="F217" s="26"/>
      <c r="G217" s="26"/>
      <c r="H217" s="26"/>
      <c r="I217" s="26"/>
      <c r="J217" s="26"/>
      <c r="K217" s="26"/>
      <c r="L217" s="26"/>
    </row>
    <row r="218" spans="1:12" x14ac:dyDescent="0.45">
      <c r="A218" s="26"/>
      <c r="B218" s="26"/>
      <c r="C218" s="26"/>
      <c r="D218" s="26"/>
      <c r="E218" s="26"/>
      <c r="F218" s="26"/>
      <c r="G218" s="26"/>
      <c r="H218" s="26"/>
      <c r="I218" s="26"/>
      <c r="J218" s="26"/>
      <c r="K218" s="26"/>
      <c r="L218" s="26"/>
    </row>
    <row r="219" spans="1:12" x14ac:dyDescent="0.45">
      <c r="A219" s="26"/>
      <c r="B219" s="26"/>
      <c r="C219" s="26"/>
      <c r="D219" s="26"/>
      <c r="E219" s="26"/>
      <c r="F219" s="26"/>
      <c r="G219" s="26"/>
      <c r="H219" s="26"/>
      <c r="I219" s="26"/>
      <c r="J219" s="26"/>
      <c r="K219" s="26"/>
      <c r="L219" s="26"/>
    </row>
    <row r="220" spans="1:12" x14ac:dyDescent="0.45">
      <c r="A220" s="26"/>
      <c r="B220" s="26"/>
      <c r="C220" s="26"/>
      <c r="D220" s="26"/>
      <c r="E220" s="26"/>
      <c r="F220" s="26"/>
      <c r="G220" s="26"/>
      <c r="H220" s="26"/>
      <c r="I220" s="26"/>
      <c r="J220" s="26"/>
      <c r="K220" s="26"/>
      <c r="L220" s="26"/>
    </row>
    <row r="221" spans="1:12" x14ac:dyDescent="0.45">
      <c r="A221" s="26"/>
      <c r="B221" s="26"/>
      <c r="C221" s="26"/>
      <c r="D221" s="26"/>
      <c r="E221" s="26"/>
      <c r="F221" s="26"/>
      <c r="G221" s="26"/>
      <c r="H221" s="26"/>
      <c r="I221" s="26"/>
      <c r="J221" s="26"/>
      <c r="K221" s="26"/>
      <c r="L221" s="26"/>
    </row>
    <row r="222" spans="1:12" x14ac:dyDescent="0.45">
      <c r="A222" s="26"/>
      <c r="B222" s="26"/>
      <c r="C222" s="26"/>
      <c r="D222" s="26"/>
      <c r="E222" s="26"/>
      <c r="F222" s="26"/>
      <c r="G222" s="26"/>
      <c r="H222" s="26"/>
      <c r="I222" s="26"/>
      <c r="J222" s="26"/>
      <c r="K222" s="26"/>
      <c r="L222" s="26"/>
    </row>
    <row r="223" spans="1:12" x14ac:dyDescent="0.45">
      <c r="A223" s="26"/>
      <c r="B223" s="26"/>
      <c r="C223" s="26"/>
      <c r="D223" s="26"/>
      <c r="E223" s="26"/>
      <c r="F223" s="26"/>
      <c r="G223" s="26"/>
      <c r="H223" s="26"/>
      <c r="I223" s="26"/>
      <c r="J223" s="26"/>
      <c r="K223" s="26"/>
      <c r="L223" s="26"/>
    </row>
    <row r="224" spans="1:12" x14ac:dyDescent="0.45">
      <c r="A224" s="26"/>
      <c r="B224" s="26"/>
      <c r="C224" s="26"/>
      <c r="D224" s="26"/>
      <c r="E224" s="26"/>
      <c r="F224" s="26"/>
      <c r="G224" s="26"/>
      <c r="H224" s="26"/>
      <c r="I224" s="26"/>
      <c r="J224" s="26"/>
      <c r="K224" s="26"/>
      <c r="L224" s="26"/>
    </row>
    <row r="225" spans="1:12" x14ac:dyDescent="0.45">
      <c r="A225" s="26"/>
      <c r="B225" s="26"/>
      <c r="C225" s="26"/>
      <c r="D225" s="26"/>
      <c r="E225" s="26"/>
      <c r="F225" s="26"/>
      <c r="G225" s="26"/>
      <c r="H225" s="26"/>
      <c r="I225" s="26"/>
      <c r="J225" s="26"/>
      <c r="K225" s="26"/>
      <c r="L225" s="26"/>
    </row>
    <row r="226" spans="1:12" x14ac:dyDescent="0.45">
      <c r="A226" s="26"/>
      <c r="B226" s="26"/>
      <c r="C226" s="26"/>
      <c r="D226" s="26"/>
      <c r="E226" s="26"/>
      <c r="F226" s="26"/>
      <c r="G226" s="26"/>
      <c r="H226" s="26"/>
      <c r="I226" s="26"/>
      <c r="J226" s="26"/>
      <c r="K226" s="26"/>
      <c r="L226" s="26"/>
    </row>
    <row r="227" spans="1:12" x14ac:dyDescent="0.45">
      <c r="A227" s="26"/>
      <c r="B227" s="26"/>
      <c r="C227" s="26"/>
      <c r="D227" s="26"/>
      <c r="E227" s="26"/>
      <c r="F227" s="26"/>
      <c r="G227" s="26"/>
      <c r="H227" s="26"/>
      <c r="I227" s="26"/>
      <c r="J227" s="26"/>
      <c r="K227" s="26"/>
      <c r="L227" s="26"/>
    </row>
    <row r="228" spans="1:12" x14ac:dyDescent="0.45">
      <c r="A228" s="26"/>
      <c r="B228" s="26"/>
      <c r="C228" s="26"/>
      <c r="D228" s="26"/>
      <c r="E228" s="26"/>
      <c r="F228" s="26"/>
      <c r="G228" s="26"/>
      <c r="H228" s="26"/>
      <c r="I228" s="26"/>
      <c r="J228" s="26"/>
      <c r="K228" s="26"/>
      <c r="L228" s="26"/>
    </row>
    <row r="229" spans="1:12" x14ac:dyDescent="0.45">
      <c r="A229" s="26"/>
      <c r="B229" s="26"/>
      <c r="C229" s="26"/>
      <c r="D229" s="26"/>
      <c r="E229" s="26"/>
      <c r="F229" s="26"/>
      <c r="G229" s="26"/>
      <c r="H229" s="26"/>
      <c r="I229" s="26"/>
      <c r="J229" s="26"/>
      <c r="K229" s="26"/>
      <c r="L229" s="26"/>
    </row>
    <row r="230" spans="1:12" x14ac:dyDescent="0.45">
      <c r="A230" s="26"/>
      <c r="B230" s="26"/>
      <c r="C230" s="26"/>
      <c r="D230" s="26"/>
      <c r="E230" s="26"/>
      <c r="F230" s="26"/>
      <c r="G230" s="26"/>
      <c r="H230" s="26"/>
      <c r="I230" s="26"/>
      <c r="J230" s="26"/>
      <c r="K230" s="26"/>
      <c r="L230" s="26"/>
    </row>
    <row r="231" spans="1:12" x14ac:dyDescent="0.45">
      <c r="A231" s="26"/>
      <c r="B231" s="26"/>
      <c r="C231" s="26"/>
      <c r="D231" s="26"/>
      <c r="E231" s="26"/>
      <c r="F231" s="26"/>
      <c r="G231" s="26"/>
      <c r="H231" s="26"/>
      <c r="I231" s="26"/>
      <c r="J231" s="26"/>
      <c r="K231" s="26"/>
      <c r="L231" s="26"/>
    </row>
    <row r="232" spans="1:12" x14ac:dyDescent="0.45">
      <c r="A232" s="26"/>
      <c r="B232" s="26"/>
      <c r="C232" s="26"/>
      <c r="D232" s="26"/>
      <c r="E232" s="26"/>
      <c r="F232" s="26"/>
      <c r="G232" s="26"/>
      <c r="H232" s="26"/>
      <c r="I232" s="26"/>
      <c r="J232" s="26"/>
      <c r="K232" s="26"/>
      <c r="L232" s="26"/>
    </row>
    <row r="233" spans="1:12" x14ac:dyDescent="0.45">
      <c r="A233" s="26"/>
      <c r="B233" s="26"/>
      <c r="C233" s="26"/>
      <c r="D233" s="26"/>
      <c r="E233" s="26"/>
      <c r="F233" s="26"/>
      <c r="G233" s="26"/>
      <c r="H233" s="26"/>
      <c r="I233" s="26"/>
      <c r="J233" s="26"/>
      <c r="K233" s="26"/>
      <c r="L233" s="26"/>
    </row>
    <row r="234" spans="1:12" x14ac:dyDescent="0.45">
      <c r="A234" s="26"/>
      <c r="B234" s="26"/>
      <c r="C234" s="26"/>
      <c r="D234" s="26"/>
      <c r="E234" s="26"/>
      <c r="F234" s="26"/>
      <c r="G234" s="26"/>
      <c r="H234" s="26"/>
      <c r="I234" s="26"/>
      <c r="J234" s="26"/>
      <c r="K234" s="26"/>
      <c r="L234" s="26"/>
    </row>
    <row r="235" spans="1:12" x14ac:dyDescent="0.45">
      <c r="A235" s="26"/>
      <c r="B235" s="26"/>
      <c r="C235" s="26"/>
      <c r="D235" s="26"/>
      <c r="E235" s="26"/>
      <c r="F235" s="26"/>
      <c r="G235" s="26"/>
      <c r="H235" s="26"/>
      <c r="I235" s="26"/>
      <c r="J235" s="26"/>
      <c r="K235" s="26"/>
      <c r="L235" s="26"/>
    </row>
    <row r="236" spans="1:12" x14ac:dyDescent="0.45">
      <c r="A236" s="26"/>
      <c r="B236" s="26"/>
      <c r="C236" s="26"/>
      <c r="D236" s="26"/>
      <c r="E236" s="26"/>
      <c r="F236" s="26"/>
      <c r="G236" s="26"/>
      <c r="H236" s="26"/>
      <c r="I236" s="26"/>
      <c r="J236" s="26"/>
      <c r="K236" s="26"/>
      <c r="L236" s="26"/>
    </row>
    <row r="237" spans="1:12" x14ac:dyDescent="0.45">
      <c r="A237" s="26"/>
      <c r="B237" s="26"/>
      <c r="C237" s="26"/>
      <c r="D237" s="26"/>
      <c r="E237" s="26"/>
      <c r="F237" s="26"/>
      <c r="G237" s="26"/>
      <c r="H237" s="26"/>
      <c r="I237" s="26"/>
      <c r="J237" s="26"/>
      <c r="K237" s="26"/>
      <c r="L237" s="26"/>
    </row>
    <row r="238" spans="1:12" x14ac:dyDescent="0.45">
      <c r="A238" s="26"/>
      <c r="B238" s="26"/>
      <c r="C238" s="26"/>
      <c r="D238" s="26"/>
      <c r="E238" s="26"/>
      <c r="F238" s="26"/>
      <c r="G238" s="26"/>
      <c r="H238" s="26"/>
      <c r="I238" s="26"/>
      <c r="J238" s="26"/>
      <c r="K238" s="26"/>
      <c r="L238" s="26"/>
    </row>
    <row r="239" spans="1:12" x14ac:dyDescent="0.45">
      <c r="A239" s="26"/>
      <c r="B239" s="26"/>
      <c r="C239" s="26"/>
      <c r="D239" s="26"/>
      <c r="E239" s="26"/>
      <c r="F239" s="26"/>
      <c r="G239" s="26"/>
      <c r="H239" s="26"/>
      <c r="I239" s="26"/>
      <c r="J239" s="26"/>
      <c r="K239" s="26"/>
      <c r="L239" s="26"/>
    </row>
    <row r="240" spans="1:12" x14ac:dyDescent="0.45">
      <c r="A240" s="26"/>
      <c r="B240" s="26"/>
      <c r="C240" s="26"/>
      <c r="D240" s="26"/>
      <c r="E240" s="26"/>
      <c r="F240" s="26"/>
      <c r="G240" s="26"/>
      <c r="H240" s="26"/>
      <c r="I240" s="26"/>
      <c r="J240" s="26"/>
      <c r="K240" s="26"/>
      <c r="L240" s="26"/>
    </row>
    <row r="241" spans="1:12" x14ac:dyDescent="0.45">
      <c r="A241" s="26"/>
      <c r="B241" s="26"/>
      <c r="C241" s="26"/>
      <c r="D241" s="26"/>
      <c r="E241" s="26"/>
      <c r="F241" s="26"/>
      <c r="G241" s="26"/>
      <c r="H241" s="26"/>
      <c r="I241" s="26"/>
      <c r="J241" s="26"/>
      <c r="K241" s="26"/>
      <c r="L241" s="26"/>
    </row>
    <row r="242" spans="1:12" x14ac:dyDescent="0.45">
      <c r="A242" s="26"/>
      <c r="B242" s="26"/>
      <c r="C242" s="26"/>
      <c r="D242" s="26"/>
      <c r="E242" s="26"/>
      <c r="F242" s="26"/>
      <c r="G242" s="26"/>
      <c r="H242" s="26"/>
      <c r="I242" s="26"/>
      <c r="J242" s="26"/>
      <c r="K242" s="26"/>
      <c r="L242" s="26"/>
    </row>
    <row r="243" spans="1:12" x14ac:dyDescent="0.45">
      <c r="A243" s="26"/>
      <c r="B243" s="26"/>
      <c r="C243" s="26"/>
      <c r="D243" s="26"/>
      <c r="E243" s="26"/>
      <c r="F243" s="26"/>
      <c r="G243" s="26"/>
      <c r="H243" s="26"/>
      <c r="I243" s="26"/>
      <c r="J243" s="26"/>
      <c r="K243" s="26"/>
      <c r="L243" s="26"/>
    </row>
    <row r="244" spans="1:12" x14ac:dyDescent="0.45">
      <c r="A244" s="26"/>
      <c r="B244" s="26"/>
      <c r="C244" s="26"/>
      <c r="D244" s="26"/>
      <c r="E244" s="26"/>
      <c r="F244" s="26"/>
      <c r="G244" s="26"/>
      <c r="H244" s="26"/>
      <c r="I244" s="26"/>
      <c r="J244" s="26"/>
      <c r="K244" s="26"/>
      <c r="L244" s="26"/>
    </row>
    <row r="245" spans="1:12" x14ac:dyDescent="0.45">
      <c r="A245" s="26"/>
      <c r="B245" s="26"/>
      <c r="C245" s="26"/>
      <c r="D245" s="26"/>
      <c r="E245" s="26"/>
      <c r="F245" s="26"/>
      <c r="G245" s="26"/>
      <c r="H245" s="26"/>
      <c r="I245" s="26"/>
      <c r="J245" s="26"/>
      <c r="K245" s="26"/>
      <c r="L245" s="26"/>
    </row>
    <row r="246" spans="1:12" x14ac:dyDescent="0.45">
      <c r="A246" s="26"/>
      <c r="B246" s="26"/>
      <c r="C246" s="26"/>
      <c r="D246" s="26"/>
      <c r="E246" s="26"/>
      <c r="F246" s="26"/>
      <c r="G246" s="26"/>
      <c r="H246" s="26"/>
      <c r="I246" s="26"/>
      <c r="J246" s="26"/>
      <c r="K246" s="26"/>
      <c r="L246" s="26"/>
    </row>
    <row r="247" spans="1:12" x14ac:dyDescent="0.45">
      <c r="A247" s="26"/>
      <c r="B247" s="26"/>
      <c r="C247" s="26"/>
      <c r="D247" s="26"/>
      <c r="E247" s="26"/>
      <c r="F247" s="26"/>
      <c r="G247" s="26"/>
      <c r="H247" s="26"/>
      <c r="I247" s="26"/>
      <c r="J247" s="26"/>
      <c r="K247" s="26"/>
      <c r="L247" s="26"/>
    </row>
    <row r="248" spans="1:12" x14ac:dyDescent="0.45">
      <c r="A248" s="26"/>
      <c r="B248" s="26"/>
      <c r="C248" s="26"/>
      <c r="D248" s="26"/>
      <c r="E248" s="26"/>
      <c r="F248" s="26"/>
      <c r="G248" s="26"/>
      <c r="H248" s="26"/>
      <c r="I248" s="26"/>
      <c r="J248" s="26"/>
      <c r="K248" s="26"/>
      <c r="L248" s="26"/>
    </row>
    <row r="249" spans="1:12" x14ac:dyDescent="0.45">
      <c r="A249" s="82"/>
      <c r="B249" s="82"/>
      <c r="C249" s="82"/>
      <c r="D249" s="82"/>
      <c r="E249" s="82"/>
      <c r="F249" s="82"/>
      <c r="G249" s="82"/>
      <c r="H249" s="82"/>
      <c r="I249" s="82"/>
      <c r="J249" s="82"/>
      <c r="K249" s="82"/>
      <c r="L249" s="82"/>
    </row>
    <row r="250" spans="1:12" x14ac:dyDescent="0.45">
      <c r="A250" s="82"/>
      <c r="B250" s="82"/>
      <c r="C250" s="82"/>
      <c r="D250" s="82"/>
      <c r="E250" s="82"/>
      <c r="F250" s="82"/>
      <c r="G250" s="82"/>
      <c r="H250" s="82"/>
      <c r="I250" s="82"/>
      <c r="J250" s="82"/>
      <c r="K250" s="82"/>
      <c r="L250" s="82"/>
    </row>
    <row r="251" spans="1:12" x14ac:dyDescent="0.45">
      <c r="A251" s="82"/>
      <c r="B251" s="82"/>
      <c r="C251" s="82"/>
      <c r="D251" s="82"/>
      <c r="E251" s="82"/>
      <c r="F251" s="82"/>
      <c r="G251" s="82"/>
      <c r="H251" s="82"/>
      <c r="I251" s="82"/>
      <c r="J251" s="82"/>
      <c r="K251" s="82"/>
      <c r="L251" s="82"/>
    </row>
    <row r="252" spans="1:12" x14ac:dyDescent="0.45">
      <c r="A252" s="82"/>
      <c r="B252" s="82"/>
      <c r="C252" s="82"/>
      <c r="D252" s="82"/>
      <c r="E252" s="82"/>
      <c r="F252" s="82"/>
      <c r="G252" s="82"/>
      <c r="H252" s="82"/>
      <c r="I252" s="82"/>
      <c r="J252" s="82"/>
      <c r="K252" s="82"/>
      <c r="L252" s="82"/>
    </row>
  </sheetData>
  <sheetProtection sheet="1" selectLockedCells="1"/>
  <mergeCells count="2">
    <mergeCell ref="A2:L2"/>
    <mergeCell ref="B1:I1"/>
  </mergeCells>
  <dataValidations count="3">
    <dataValidation type="list" allowBlank="1" showInputMessage="1" showErrorMessage="1" sqref="J70 J65" xr:uid="{00000000-0002-0000-0600-000000000000}">
      <formula1>$AE$1:$AE$5</formula1>
    </dataValidation>
    <dataValidation type="list" allowBlank="1" showInputMessage="1" showErrorMessage="1" sqref="J6:J9 J133 J167:J170 J159:J164 J154:J156 J151 J148 J141:J145 J138 J86:J87 J117:J123 J126:J131 J94:J108 J90:J91 J77:J78 J68:J69 J56:J64 J50:J51 J40:J47 J36:J37 J30:J31 J27 J21:J24 J16:J18 J12:J13 J73:J74 J81:J83 J113:J114" xr:uid="{00000000-0002-0000-0600-000001000000}">
      <formula1>$AI$2:$AI$5</formula1>
    </dataValidation>
    <dataValidation type="list" allowBlank="1" showInputMessage="1" showErrorMessage="1" sqref="J171" xr:uid="{00000000-0002-0000-0600-000002000000}">
      <formula1>$AH$3:$AH$6</formula1>
    </dataValidation>
  </dataValidations>
  <pageMargins left="0.23622047244094491" right="0.23622047244094491" top="0.74803149606299213" bottom="0.74803149606299213" header="0.31496062992125984" footer="0.31496062992125984"/>
  <pageSetup paperSize="8" scale="56" fitToHeight="0" orientation="portrait" r:id="rId1"/>
  <headerFooter>
    <oddHeader>&amp;C&amp;9&amp;A</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Arbejdsark!$L$5:$L$7</xm:f>
          </x14:formula1>
          <xm:sqref>J5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tabColor rgb="FF00B0F0"/>
    <pageSetUpPr fitToPage="1"/>
  </sheetPr>
  <dimension ref="A1:AI178"/>
  <sheetViews>
    <sheetView view="pageLayout" zoomScaleNormal="87" workbookViewId="0">
      <selection activeCell="J6" sqref="J6"/>
    </sheetView>
  </sheetViews>
  <sheetFormatPr defaultColWidth="8.59765625" defaultRowHeight="14.25" x14ac:dyDescent="0.45"/>
  <cols>
    <col min="1" max="1" width="25.265625" style="30" customWidth="1"/>
    <col min="2" max="2" width="5.265625" style="30" customWidth="1"/>
    <col min="3" max="3" width="11.73046875" style="30" customWidth="1"/>
    <col min="4" max="4" width="37.265625" style="30" hidden="1" customWidth="1"/>
    <col min="5" max="8" width="8.73046875" style="30" hidden="1" customWidth="1"/>
    <col min="9" max="9" width="30" style="30" customWidth="1"/>
    <col min="10" max="10" width="32.73046875" style="30" customWidth="1"/>
    <col min="11" max="11" width="19.73046875" style="30" customWidth="1"/>
    <col min="12" max="12" width="26.73046875" style="30" customWidth="1"/>
    <col min="13" max="21" width="8.73046875" style="30" hidden="1" customWidth="1"/>
    <col min="22" max="22" width="7.3984375" style="30" hidden="1" customWidth="1"/>
    <col min="23" max="23" width="8.73046875" style="30" customWidth="1"/>
    <col min="24" max="29" width="8.59765625" style="30"/>
    <col min="30" max="30" width="8.59765625" style="30" customWidth="1"/>
    <col min="31" max="33" width="8.73046875" style="30" hidden="1" customWidth="1"/>
    <col min="34" max="35" width="8.59765625" style="30" hidden="1" customWidth="1"/>
    <col min="36" max="16384" width="8.59765625" style="30"/>
  </cols>
  <sheetData>
    <row r="1" spans="1:35" ht="28.5" x14ac:dyDescent="0.45">
      <c r="A1" s="296" t="s">
        <v>188</v>
      </c>
      <c r="B1" s="795" t="str">
        <f>Projektforudsætninger!C22</f>
        <v>-3-</v>
      </c>
      <c r="C1" s="795"/>
      <c r="D1" s="795"/>
      <c r="E1" s="795"/>
      <c r="F1" s="795"/>
      <c r="G1" s="795"/>
      <c r="H1" s="795"/>
      <c r="I1" s="795"/>
      <c r="J1" s="19"/>
      <c r="K1" s="19"/>
      <c r="L1" s="19"/>
      <c r="M1" s="19"/>
      <c r="N1" s="19"/>
      <c r="O1" s="19"/>
      <c r="P1" s="19"/>
      <c r="Q1" s="19"/>
      <c r="R1" s="19"/>
      <c r="S1" s="19"/>
      <c r="T1" s="19"/>
      <c r="U1" s="19"/>
      <c r="V1" s="19"/>
      <c r="AE1" s="30" t="s">
        <v>9</v>
      </c>
    </row>
    <row r="2" spans="1:35" ht="50.25" customHeight="1" x14ac:dyDescent="0.45">
      <c r="A2" s="777" t="s">
        <v>194</v>
      </c>
      <c r="B2" s="777"/>
      <c r="C2" s="777"/>
      <c r="D2" s="777"/>
      <c r="E2" s="777"/>
      <c r="F2" s="777"/>
      <c r="G2" s="777"/>
      <c r="H2" s="777"/>
      <c r="I2" s="777"/>
      <c r="J2" s="777"/>
      <c r="K2" s="777"/>
      <c r="L2" s="777"/>
      <c r="M2" s="19"/>
      <c r="N2" s="19"/>
      <c r="O2" s="19"/>
      <c r="P2" s="19"/>
      <c r="Q2" s="19"/>
      <c r="R2" s="19"/>
      <c r="S2" s="19"/>
      <c r="T2" s="19"/>
      <c r="U2" s="19"/>
      <c r="V2" s="19"/>
      <c r="AE2" s="294" t="s">
        <v>170</v>
      </c>
      <c r="AG2" s="31" t="s">
        <v>171</v>
      </c>
      <c r="AI2" s="30" t="s">
        <v>9</v>
      </c>
    </row>
    <row r="3" spans="1:35" ht="23.25" x14ac:dyDescent="0.45">
      <c r="A3" s="49" t="str">
        <f>Arbejdsark!A2</f>
        <v>MILJØ KVALITET</v>
      </c>
      <c r="B3" s="49"/>
      <c r="C3" s="261"/>
      <c r="D3" s="261"/>
      <c r="E3" s="262"/>
      <c r="F3" s="262"/>
      <c r="G3" s="262"/>
      <c r="H3" s="262"/>
      <c r="I3" s="262"/>
      <c r="J3" s="262"/>
      <c r="K3" s="262"/>
      <c r="L3" s="299"/>
      <c r="M3" s="19"/>
      <c r="N3" s="19"/>
      <c r="O3" s="19"/>
      <c r="P3" s="19"/>
      <c r="Q3" s="19"/>
      <c r="R3" s="19"/>
      <c r="S3" s="19"/>
      <c r="T3" s="19"/>
      <c r="U3" s="19"/>
      <c r="V3" s="19"/>
      <c r="AE3" s="294" t="s">
        <v>498</v>
      </c>
      <c r="AG3" s="31" t="s">
        <v>173</v>
      </c>
      <c r="AI3" s="294" t="s">
        <v>498</v>
      </c>
    </row>
    <row r="4" spans="1:35" s="33" customFormat="1" ht="20.25" customHeight="1" x14ac:dyDescent="0.45">
      <c r="A4" s="67" t="s">
        <v>118</v>
      </c>
      <c r="B4" s="67" t="s">
        <v>179</v>
      </c>
      <c r="C4" s="67" t="s">
        <v>167</v>
      </c>
      <c r="D4" s="68" t="s">
        <v>63</v>
      </c>
      <c r="E4" s="67" t="s">
        <v>190</v>
      </c>
      <c r="F4" s="67" t="s">
        <v>19</v>
      </c>
      <c r="G4" s="67" t="s">
        <v>183</v>
      </c>
      <c r="H4" s="67" t="s">
        <v>191</v>
      </c>
      <c r="I4" s="137" t="s">
        <v>61</v>
      </c>
      <c r="J4" s="67" t="s">
        <v>62</v>
      </c>
      <c r="K4" s="67" t="s">
        <v>185</v>
      </c>
      <c r="L4" s="300"/>
      <c r="M4" s="32"/>
      <c r="N4" s="32"/>
      <c r="O4" s="32"/>
      <c r="P4" s="32"/>
      <c r="Q4" s="32"/>
      <c r="R4" s="32"/>
      <c r="S4" s="32"/>
      <c r="T4" s="32"/>
      <c r="U4" s="32"/>
      <c r="AE4" s="294" t="s">
        <v>499</v>
      </c>
      <c r="AG4" s="31" t="s">
        <v>12</v>
      </c>
      <c r="AI4" s="294" t="s">
        <v>499</v>
      </c>
    </row>
    <row r="5" spans="1:35" ht="28.5" customHeight="1" x14ac:dyDescent="0.45">
      <c r="A5" s="50" t="str">
        <f>Arbejdsark!$A$4</f>
        <v>Materialer</v>
      </c>
      <c r="B5" s="50">
        <v>1</v>
      </c>
      <c r="C5" s="50"/>
      <c r="D5" s="50"/>
      <c r="E5" s="50"/>
      <c r="F5" s="50"/>
      <c r="G5" s="50"/>
      <c r="H5" s="50"/>
      <c r="I5" s="50" t="str">
        <f>IF('Sortering af spørgsmål'!$C$6=Projektforudsætninger!$C$22,"Udfyld spørgsmål","Ingen spørgsmål")</f>
        <v>Ingen spørgsmål</v>
      </c>
      <c r="J5" s="50"/>
      <c r="K5" s="50"/>
      <c r="L5" s="301"/>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E5" s="294" t="s">
        <v>495</v>
      </c>
      <c r="AI5" s="294" t="s">
        <v>495</v>
      </c>
    </row>
    <row r="6" spans="1:35" ht="141.75" customHeight="1" x14ac:dyDescent="0.45">
      <c r="A6" s="148" t="str">
        <f>Arbejdsark!$A$4</f>
        <v>Materialer</v>
      </c>
      <c r="B6" s="43" t="str">
        <f>Arbejdsark!$B$4</f>
        <v>1.1</v>
      </c>
      <c r="C6" s="45" t="str">
        <f>IF('Sortering af spørgsmål'!C6=Projektforudsætninger!$C$22,Arbejdsark!C4,"")</f>
        <v/>
      </c>
      <c r="D6" s="46"/>
      <c r="E6" s="45"/>
      <c r="F6" s="45"/>
      <c r="G6" s="45"/>
      <c r="H6" s="45"/>
      <c r="I6" s="45" t="str">
        <f>IF('Sortering af spørgsmål'!C6=Projektforudsætninger!$C$22,Arbejdsark!K4,"")</f>
        <v/>
      </c>
      <c r="J6" s="41" t="s">
        <v>9</v>
      </c>
      <c r="K6" s="41"/>
      <c r="L6" s="19"/>
      <c r="M6" s="19"/>
      <c r="N6" s="19"/>
      <c r="O6" s="19"/>
      <c r="P6" s="19"/>
      <c r="Q6" s="19"/>
      <c r="R6" s="19"/>
      <c r="S6" s="19"/>
      <c r="T6" s="19"/>
      <c r="U6" s="19"/>
      <c r="AE6" s="294" t="s">
        <v>186</v>
      </c>
    </row>
    <row r="7" spans="1:35" ht="141.75" customHeight="1" x14ac:dyDescent="0.45">
      <c r="A7" s="148" t="str">
        <f>Arbejdsark!$A$4</f>
        <v>Materialer</v>
      </c>
      <c r="B7" s="43" t="str">
        <f>Arbejdsark!$B$10</f>
        <v>1.2</v>
      </c>
      <c r="C7" s="45" t="str">
        <f>IF('Sortering af spørgsmål'!C6=Projektforudsætninger!$C$22,Arbejdsark!C10,"")</f>
        <v/>
      </c>
      <c r="D7" s="46" t="str">
        <f>Arbejdsark!D10</f>
        <v>ENV1.2</v>
      </c>
      <c r="E7" s="45" t="str">
        <f>Arbejdsark!I10</f>
        <v>x</v>
      </c>
      <c r="F7" s="45">
        <f>Arbejdsark!J10</f>
        <v>0</v>
      </c>
      <c r="G7" s="45" t="e">
        <f>Arbejdsark!#REF!</f>
        <v>#REF!</v>
      </c>
      <c r="H7" s="45" t="e">
        <f>Arbejdsark!#REF!</f>
        <v>#REF!</v>
      </c>
      <c r="I7" s="45" t="str">
        <f>IF('Sortering af spørgsmål'!C6=Projektforudsætninger!$C$22,Arbejdsark!K10,"")</f>
        <v/>
      </c>
      <c r="J7" s="41" t="s">
        <v>9</v>
      </c>
      <c r="K7" s="41"/>
      <c r="L7" s="19"/>
      <c r="M7" s="19"/>
      <c r="N7" s="19"/>
      <c r="O7" s="19"/>
      <c r="P7" s="19"/>
      <c r="Q7" s="19"/>
      <c r="R7" s="19"/>
      <c r="S7" s="19"/>
      <c r="T7" s="19"/>
      <c r="U7" s="19"/>
    </row>
    <row r="8" spans="1:35" ht="184.5" customHeight="1" x14ac:dyDescent="0.45">
      <c r="A8" s="148" t="str">
        <f>Arbejdsark!$A$4</f>
        <v>Materialer</v>
      </c>
      <c r="B8" s="43" t="str">
        <f>Arbejdsark!$B$15</f>
        <v>1.3</v>
      </c>
      <c r="C8" s="45" t="str">
        <f>IF('Sortering af spørgsmål'!C6=Projektforudsætninger!$C$22,Arbejdsark!C15,"")</f>
        <v/>
      </c>
      <c r="D8" s="46">
        <f>Arbejdsark!D11</f>
        <v>0</v>
      </c>
      <c r="E8" s="45">
        <f>Arbejdsark!I11</f>
        <v>0</v>
      </c>
      <c r="F8" s="45">
        <f>Arbejdsark!J11</f>
        <v>0</v>
      </c>
      <c r="G8" s="45" t="e">
        <f>Arbejdsark!#REF!</f>
        <v>#REF!</v>
      </c>
      <c r="H8" s="45" t="e">
        <f>Arbejdsark!#REF!</f>
        <v>#REF!</v>
      </c>
      <c r="I8" s="45" t="str">
        <f>IF('Sortering af spørgsmål'!C6=Projektforudsætninger!$C$22,Arbejdsark!K15,"")</f>
        <v/>
      </c>
      <c r="J8" s="41" t="s">
        <v>9</v>
      </c>
      <c r="K8" s="41"/>
      <c r="L8" s="19"/>
      <c r="M8" s="19"/>
      <c r="N8" s="19"/>
      <c r="O8" s="19"/>
      <c r="P8" s="19"/>
      <c r="Q8" s="19"/>
      <c r="R8" s="19"/>
      <c r="S8" s="19"/>
      <c r="T8" s="19"/>
      <c r="U8" s="19"/>
    </row>
    <row r="9" spans="1:35" ht="198.4" customHeight="1" x14ac:dyDescent="0.45">
      <c r="A9" s="148" t="str">
        <f>Arbejdsark!$A$4</f>
        <v>Materialer</v>
      </c>
      <c r="B9" s="43" t="str">
        <f>Arbejdsark!$B$20</f>
        <v>1.4</v>
      </c>
      <c r="C9" s="45" t="str">
        <f>IF('Sortering af spørgsmål'!C6=Projektforudsætninger!$C$22,Arbejdsark!C20,"")</f>
        <v/>
      </c>
      <c r="D9" s="46">
        <f>Arbejdsark!D12</f>
        <v>0</v>
      </c>
      <c r="E9" s="45">
        <f>Arbejdsark!I12</f>
        <v>0</v>
      </c>
      <c r="F9" s="45">
        <f>Arbejdsark!J12</f>
        <v>0</v>
      </c>
      <c r="G9" s="45" t="e">
        <f>Arbejdsark!#REF!</f>
        <v>#REF!</v>
      </c>
      <c r="H9" s="45" t="e">
        <f>Arbejdsark!#REF!</f>
        <v>#REF!</v>
      </c>
      <c r="I9" s="45" t="str">
        <f>IF('Sortering af spørgsmål'!C6=Projektforudsætninger!$C$22,Arbejdsark!K20,"")</f>
        <v/>
      </c>
      <c r="J9" s="41" t="s">
        <v>9</v>
      </c>
      <c r="K9" s="41"/>
      <c r="L9" s="19"/>
      <c r="M9" s="19"/>
      <c r="N9" s="19"/>
      <c r="O9" s="19"/>
      <c r="P9" s="19"/>
      <c r="Q9" s="19"/>
      <c r="R9" s="19"/>
      <c r="S9" s="19"/>
      <c r="T9" s="19"/>
      <c r="U9" s="19"/>
      <c r="AD9" s="294" t="s">
        <v>10</v>
      </c>
      <c r="AF9" s="30">
        <v>1</v>
      </c>
    </row>
    <row r="10" spans="1:35" x14ac:dyDescent="0.45">
      <c r="A10" s="45"/>
      <c r="B10" s="38"/>
      <c r="C10" s="45"/>
      <c r="D10" s="46"/>
      <c r="E10" s="45"/>
      <c r="F10" s="45"/>
      <c r="G10" s="45"/>
      <c r="H10" s="45"/>
      <c r="I10" s="45"/>
      <c r="J10" s="47"/>
      <c r="K10" s="47"/>
      <c r="L10" s="19"/>
      <c r="M10" s="19"/>
      <c r="N10" s="19"/>
      <c r="O10" s="19"/>
      <c r="P10" s="19"/>
      <c r="Q10" s="19"/>
      <c r="R10" s="19"/>
      <c r="S10" s="19"/>
      <c r="T10" s="19"/>
      <c r="U10" s="19"/>
      <c r="AD10" s="294" t="s">
        <v>12</v>
      </c>
      <c r="AF10" s="30">
        <v>2</v>
      </c>
    </row>
    <row r="11" spans="1:35" ht="28.5" customHeight="1" x14ac:dyDescent="0.45">
      <c r="A11" s="50" t="str">
        <f>Arbejdsark!$A$25</f>
        <v>Energi</v>
      </c>
      <c r="B11" s="50">
        <v>2</v>
      </c>
      <c r="C11" s="50"/>
      <c r="D11" s="50"/>
      <c r="E11" s="50"/>
      <c r="F11" s="50"/>
      <c r="G11" s="50"/>
      <c r="H11" s="50"/>
      <c r="I11" s="50" t="str">
        <f>IF('Sortering af spørgsmål'!$C$7=Projektforudsætninger!$C$22,"Udfyld spørgsmål","Ingen spørgsmål")</f>
        <v>Ingen spørgsmål</v>
      </c>
      <c r="J11" s="51"/>
      <c r="K11" s="51"/>
      <c r="L11" s="19"/>
      <c r="M11" s="19"/>
      <c r="N11" s="19"/>
      <c r="O11" s="19"/>
      <c r="P11" s="19"/>
      <c r="Q11" s="19"/>
      <c r="R11" s="19"/>
      <c r="S11" s="19"/>
      <c r="T11" s="19"/>
      <c r="U11" s="19"/>
      <c r="AD11" s="294" t="s">
        <v>192</v>
      </c>
      <c r="AF11" s="30">
        <v>3</v>
      </c>
    </row>
    <row r="12" spans="1:35" ht="255.4" customHeight="1" x14ac:dyDescent="0.45">
      <c r="A12" s="45" t="str">
        <f>Arbejdsark!$A$25</f>
        <v>Energi</v>
      </c>
      <c r="B12" s="43" t="str">
        <f>Arbejdsark!$B$25</f>
        <v>2.1</v>
      </c>
      <c r="C12" s="45" t="str">
        <f>IF('Sortering af spørgsmål'!C7=Projektforudsætninger!$C$22,Arbejdsark!C25,"")</f>
        <v/>
      </c>
      <c r="D12" s="46" t="str">
        <f>Arbejdsark!D15</f>
        <v>ENV1.3</v>
      </c>
      <c r="E12" s="45" t="str">
        <f>Arbejdsark!I15</f>
        <v>x</v>
      </c>
      <c r="F12" s="45">
        <f>Arbejdsark!J15</f>
        <v>0</v>
      </c>
      <c r="G12" s="45" t="e">
        <f>Arbejdsark!#REF!</f>
        <v>#REF!</v>
      </c>
      <c r="H12" s="45" t="e">
        <f>Arbejdsark!#REF!</f>
        <v>#REF!</v>
      </c>
      <c r="I12" s="45" t="str">
        <f>IF('Sortering af spørgsmål'!C7=Projektforudsætninger!$C$22,Arbejdsark!K25,"")</f>
        <v/>
      </c>
      <c r="J12" s="41" t="s">
        <v>9</v>
      </c>
      <c r="K12" s="41"/>
      <c r="L12" s="19"/>
      <c r="M12" s="19"/>
      <c r="N12" s="19"/>
      <c r="O12" s="19"/>
      <c r="P12" s="19"/>
      <c r="Q12" s="19"/>
      <c r="R12" s="19"/>
      <c r="S12" s="19"/>
      <c r="T12" s="19"/>
      <c r="U12" s="19"/>
      <c r="AF12" s="30">
        <v>4</v>
      </c>
    </row>
    <row r="13" spans="1:35" ht="99.4" customHeight="1" x14ac:dyDescent="0.45">
      <c r="A13" s="45" t="str">
        <f>Arbejdsark!$A$25</f>
        <v>Energi</v>
      </c>
      <c r="B13" s="43" t="str">
        <f>Arbejdsark!$B$30</f>
        <v>2.2</v>
      </c>
      <c r="C13" s="45" t="str">
        <f>IF('Sortering af spørgsmål'!C7=Projektforudsætninger!$C$22,Arbejdsark!C30,"")</f>
        <v/>
      </c>
      <c r="D13" s="46">
        <f>Arbejdsark!D16</f>
        <v>0</v>
      </c>
      <c r="E13" s="45">
        <f>Arbejdsark!I16</f>
        <v>0</v>
      </c>
      <c r="F13" s="45">
        <f>Arbejdsark!J16</f>
        <v>0</v>
      </c>
      <c r="G13" s="45" t="e">
        <f>Arbejdsark!#REF!</f>
        <v>#REF!</v>
      </c>
      <c r="H13" s="45" t="e">
        <f>Arbejdsark!#REF!</f>
        <v>#REF!</v>
      </c>
      <c r="I13" s="45" t="str">
        <f>IF('Sortering af spørgsmål'!C7=Projektforudsætninger!$C$22,Arbejdsark!K30,"")</f>
        <v/>
      </c>
      <c r="J13" s="41" t="s">
        <v>9</v>
      </c>
      <c r="K13" s="41"/>
      <c r="L13" s="19"/>
      <c r="M13" s="19"/>
      <c r="N13" s="19"/>
      <c r="O13" s="19"/>
      <c r="P13" s="19"/>
      <c r="Q13" s="19"/>
      <c r="R13" s="19"/>
      <c r="S13" s="19"/>
      <c r="T13" s="19"/>
      <c r="U13" s="19"/>
      <c r="AD13" s="294" t="s">
        <v>51</v>
      </c>
    </row>
    <row r="14" spans="1:35" ht="28.5" customHeight="1" x14ac:dyDescent="0.45">
      <c r="A14" s="45"/>
      <c r="B14" s="23"/>
      <c r="C14" s="45"/>
      <c r="D14" s="46"/>
      <c r="E14" s="45"/>
      <c r="F14" s="45"/>
      <c r="G14" s="45"/>
      <c r="H14" s="45"/>
      <c r="I14" s="45"/>
      <c r="J14" s="47"/>
      <c r="K14" s="47"/>
      <c r="L14" s="19"/>
      <c r="M14" s="19"/>
      <c r="N14" s="19"/>
      <c r="O14" s="19"/>
      <c r="P14" s="19"/>
      <c r="Q14" s="19"/>
      <c r="R14" s="19"/>
      <c r="S14" s="19"/>
      <c r="T14" s="19"/>
      <c r="U14" s="19"/>
      <c r="AD14" s="294" t="s">
        <v>176</v>
      </c>
      <c r="AF14" s="294">
        <v>3</v>
      </c>
    </row>
    <row r="15" spans="1:35" ht="28.5" customHeight="1" x14ac:dyDescent="0.45">
      <c r="A15" s="50" t="str">
        <f>Arbejdsark!$A$35</f>
        <v>Vand</v>
      </c>
      <c r="B15" s="50">
        <v>3</v>
      </c>
      <c r="C15" s="50"/>
      <c r="D15" s="50"/>
      <c r="E15" s="50"/>
      <c r="F15" s="50"/>
      <c r="G15" s="50"/>
      <c r="H15" s="50"/>
      <c r="I15" s="50" t="str">
        <f>IF('Sortering af spørgsmål'!$C$8=Projektforudsætninger!$C$22,"Udfyld spørgsmål","Ingen spørgsmål")</f>
        <v>Ingen spørgsmål</v>
      </c>
      <c r="J15" s="51"/>
      <c r="K15" s="51"/>
      <c r="L15" s="19"/>
      <c r="M15" s="19"/>
      <c r="N15" s="19"/>
      <c r="O15" s="19"/>
      <c r="P15" s="19"/>
      <c r="Q15" s="19"/>
      <c r="R15" s="19"/>
      <c r="S15" s="19"/>
      <c r="T15" s="19"/>
      <c r="U15" s="19"/>
      <c r="AD15" s="294" t="s">
        <v>55</v>
      </c>
      <c r="AE15" s="33"/>
      <c r="AF15" s="294">
        <v>2</v>
      </c>
    </row>
    <row r="16" spans="1:35" ht="170.25" customHeight="1" x14ac:dyDescent="0.45">
      <c r="A16" s="45" t="str">
        <f>Arbejdsark!$A$35</f>
        <v>Vand</v>
      </c>
      <c r="B16" s="43" t="str">
        <f>Arbejdsark!$B$35</f>
        <v>3.1</v>
      </c>
      <c r="C16" s="45" t="str">
        <f>IF('Sortering af spørgsmål'!C8=Projektforudsætninger!$C$22,Arbejdsark!C35,"")</f>
        <v/>
      </c>
      <c r="D16" s="46">
        <f>Arbejdsark!D18</f>
        <v>0</v>
      </c>
      <c r="E16" s="45">
        <f>Arbejdsark!I18</f>
        <v>0</v>
      </c>
      <c r="F16" s="45">
        <f>Arbejdsark!J18</f>
        <v>0</v>
      </c>
      <c r="G16" s="45" t="e">
        <f>Arbejdsark!#REF!</f>
        <v>#REF!</v>
      </c>
      <c r="H16" s="45" t="e">
        <f>Arbejdsark!#REF!</f>
        <v>#REF!</v>
      </c>
      <c r="I16" s="45" t="str">
        <f>IF('Sortering af spørgsmål'!C8=Projektforudsætninger!$C$22,Arbejdsark!K35,"")</f>
        <v/>
      </c>
      <c r="J16" s="41" t="s">
        <v>9</v>
      </c>
      <c r="K16" s="41"/>
      <c r="L16" s="19"/>
      <c r="M16" s="19"/>
      <c r="N16" s="19"/>
      <c r="O16" s="19"/>
      <c r="P16" s="19"/>
      <c r="Q16" s="19"/>
      <c r="R16" s="19"/>
      <c r="S16" s="19"/>
      <c r="T16" s="19"/>
      <c r="U16" s="19"/>
      <c r="AD16" s="294" t="s">
        <v>56</v>
      </c>
      <c r="AF16" s="294" t="s">
        <v>187</v>
      </c>
    </row>
    <row r="17" spans="1:21" ht="170.25" customHeight="1" x14ac:dyDescent="0.45">
      <c r="A17" s="45" t="str">
        <f>Arbejdsark!$A$35</f>
        <v>Vand</v>
      </c>
      <c r="B17" s="43" t="str">
        <f>Arbejdsark!$B$40</f>
        <v>3.2</v>
      </c>
      <c r="C17" s="45" t="str">
        <f>IF('Sortering af spørgsmål'!C8=Projektforudsætninger!$C$22,Arbejdsark!C40,"")</f>
        <v/>
      </c>
      <c r="D17" s="46" t="str">
        <f>Arbejdsark!D20</f>
        <v>ENV1.1 + ENV2.1
Vægtning: 40% af summen af ENV1.1 + ENV2.1 pkt. 1 og 2</v>
      </c>
      <c r="E17" s="45" t="str">
        <f>Arbejdsark!I20</f>
        <v>x</v>
      </c>
      <c r="F17" s="45">
        <f>Arbejdsark!J20</f>
        <v>0</v>
      </c>
      <c r="G17" s="45" t="e">
        <f>Arbejdsark!#REF!</f>
        <v>#REF!</v>
      </c>
      <c r="H17" s="45" t="e">
        <f>Arbejdsark!#REF!</f>
        <v>#REF!</v>
      </c>
      <c r="I17" s="45" t="str">
        <f>IF('Sortering af spørgsmål'!C8=Projektforudsætninger!$C$22,Arbejdsark!K40,"")</f>
        <v/>
      </c>
      <c r="J17" s="41" t="s">
        <v>9</v>
      </c>
      <c r="K17" s="41"/>
      <c r="L17" s="19"/>
      <c r="M17" s="19"/>
      <c r="N17" s="19"/>
      <c r="O17" s="19"/>
      <c r="P17" s="19"/>
      <c r="Q17" s="19"/>
      <c r="R17" s="19"/>
      <c r="S17" s="19"/>
      <c r="T17" s="19"/>
      <c r="U17" s="19"/>
    </row>
    <row r="18" spans="1:21" ht="99.4" customHeight="1" x14ac:dyDescent="0.45">
      <c r="A18" s="45" t="str">
        <f>Arbejdsark!$A$35</f>
        <v>Vand</v>
      </c>
      <c r="B18" s="43" t="str">
        <f>Arbejdsark!$B$45</f>
        <v>3.3</v>
      </c>
      <c r="C18" s="45" t="str">
        <f>IF('Sortering af spørgsmål'!C8=Projektforudsætninger!$C$22,Arbejdsark!C45,"")</f>
        <v/>
      </c>
      <c r="D18" s="46">
        <f>Arbejdsark!D21</f>
        <v>0</v>
      </c>
      <c r="E18" s="45">
        <f>Arbejdsark!I21</f>
        <v>0</v>
      </c>
      <c r="F18" s="45">
        <f>Arbejdsark!J21</f>
        <v>0</v>
      </c>
      <c r="G18" s="45" t="e">
        <f>Arbejdsark!#REF!</f>
        <v>#REF!</v>
      </c>
      <c r="H18" s="45" t="e">
        <f>Arbejdsark!#REF!</f>
        <v>#REF!</v>
      </c>
      <c r="I18" s="45" t="str">
        <f>IF('Sortering af spørgsmål'!$C$8=Projektforudsætninger!$C$22,Arbejdsark!K45,"")</f>
        <v/>
      </c>
      <c r="J18" s="41" t="s">
        <v>9</v>
      </c>
      <c r="K18" s="41"/>
      <c r="L18" s="19"/>
      <c r="M18" s="19"/>
      <c r="N18" s="19"/>
      <c r="O18" s="19"/>
      <c r="P18" s="19"/>
      <c r="Q18" s="19"/>
      <c r="R18" s="19"/>
      <c r="S18" s="19"/>
      <c r="T18" s="19"/>
      <c r="U18" s="19"/>
    </row>
    <row r="19" spans="1:21" ht="28.5" customHeight="1" x14ac:dyDescent="0.45">
      <c r="A19" s="45"/>
      <c r="B19" s="45"/>
      <c r="C19" s="45"/>
      <c r="D19" s="46"/>
      <c r="E19" s="45"/>
      <c r="F19" s="45"/>
      <c r="G19" s="45"/>
      <c r="H19" s="45"/>
      <c r="I19" s="45"/>
      <c r="J19" s="47"/>
      <c r="K19" s="47"/>
      <c r="L19" s="19"/>
      <c r="M19" s="19"/>
      <c r="N19" s="19"/>
      <c r="O19" s="19"/>
      <c r="P19" s="19"/>
      <c r="Q19" s="19"/>
      <c r="R19" s="19"/>
      <c r="S19" s="19"/>
      <c r="T19" s="19"/>
      <c r="U19" s="19"/>
    </row>
    <row r="20" spans="1:21" ht="28.5" customHeight="1" x14ac:dyDescent="0.45">
      <c r="A20" s="50" t="str">
        <f>Arbejdsark!$A$51</f>
        <v>Beplantning</v>
      </c>
      <c r="B20" s="50">
        <v>4</v>
      </c>
      <c r="C20" s="50"/>
      <c r="D20" s="50"/>
      <c r="E20" s="50"/>
      <c r="F20" s="50"/>
      <c r="G20" s="50"/>
      <c r="H20" s="50"/>
      <c r="I20" s="50" t="str">
        <f>IF('Sortering af spørgsmål'!$C$9=Projektforudsætninger!$C$22,"Udfyld spørgsmål","Ingen spørgsmål")</f>
        <v>Ingen spørgsmål</v>
      </c>
      <c r="J20" s="51"/>
      <c r="K20" s="51"/>
      <c r="L20" s="19"/>
      <c r="M20" s="19"/>
      <c r="N20" s="19"/>
      <c r="O20" s="19"/>
      <c r="P20" s="19"/>
      <c r="Q20" s="19"/>
      <c r="R20" s="19"/>
      <c r="S20" s="19"/>
      <c r="T20" s="19"/>
      <c r="U20" s="19"/>
    </row>
    <row r="21" spans="1:21" ht="127.5" customHeight="1" x14ac:dyDescent="0.45">
      <c r="A21" s="45" t="str">
        <f>Arbejdsark!$A$51</f>
        <v>Beplantning</v>
      </c>
      <c r="B21" s="43" t="str">
        <f>Arbejdsark!$B$51</f>
        <v>4.1</v>
      </c>
      <c r="C21" s="45" t="str">
        <f>IF('Sortering af spørgsmål'!C9=Projektforudsætninger!$C$22,Arbejdsark!C51,"")</f>
        <v/>
      </c>
      <c r="D21" s="46">
        <f>Arbejdsark!D23</f>
        <v>0</v>
      </c>
      <c r="E21" s="45">
        <f>Arbejdsark!I23</f>
        <v>0</v>
      </c>
      <c r="F21" s="45">
        <f>Arbejdsark!J23</f>
        <v>0</v>
      </c>
      <c r="G21" s="45" t="e">
        <f>Arbejdsark!#REF!</f>
        <v>#REF!</v>
      </c>
      <c r="H21" s="45" t="e">
        <f>Arbejdsark!#REF!</f>
        <v>#REF!</v>
      </c>
      <c r="I21" s="45" t="str">
        <f>IF('Sortering af spørgsmål'!$C$9=Projektforudsætninger!$C$22,Arbejdsark!K51,"")</f>
        <v/>
      </c>
      <c r="J21" s="41" t="s">
        <v>9</v>
      </c>
      <c r="K21" s="41"/>
      <c r="L21" s="19"/>
      <c r="M21" s="19"/>
      <c r="N21" s="19"/>
      <c r="O21" s="19"/>
      <c r="P21" s="19"/>
      <c r="Q21" s="19"/>
      <c r="R21" s="19"/>
      <c r="S21" s="19"/>
      <c r="T21" s="19"/>
      <c r="U21" s="19"/>
    </row>
    <row r="22" spans="1:21" ht="42.6" customHeight="1" x14ac:dyDescent="0.45">
      <c r="A22" s="45"/>
      <c r="B22" s="43" t="str">
        <f>Arbejdsark!$B$58</f>
        <v>4.2</v>
      </c>
      <c r="C22" s="45" t="str">
        <f>IF('Sortering af spørgsmål'!C16=Projektforudsætninger!$C$22,Arbejdsark!C58,"")</f>
        <v/>
      </c>
      <c r="D22" s="46"/>
      <c r="E22" s="45"/>
      <c r="F22" s="45"/>
      <c r="G22" s="45"/>
      <c r="H22" s="45"/>
      <c r="I22" s="45" t="str">
        <f>IF('Sortering af spørgsmål'!$C$9=Projektforudsætninger!$C$22,Arbejdsark!K58,"")</f>
        <v/>
      </c>
      <c r="J22" s="41" t="s">
        <v>9</v>
      </c>
      <c r="K22" s="41"/>
      <c r="L22" s="19"/>
      <c r="M22" s="19"/>
      <c r="N22" s="19"/>
      <c r="O22" s="19"/>
      <c r="P22" s="19"/>
      <c r="Q22" s="19"/>
      <c r="R22" s="19"/>
      <c r="S22" s="19"/>
      <c r="T22" s="19"/>
      <c r="U22" s="19"/>
    </row>
    <row r="23" spans="1:21" ht="113.65" customHeight="1" x14ac:dyDescent="0.45">
      <c r="A23" s="45" t="str">
        <f>Arbejdsark!$A$51</f>
        <v>Beplantning</v>
      </c>
      <c r="B23" s="43" t="str">
        <f>Arbejdsark!$B$63</f>
        <v>4.3</v>
      </c>
      <c r="C23" s="45" t="str">
        <f>IF('Sortering af spørgsmål'!C9=Projektforudsætninger!$C$22,Arbejdsark!C63,"")</f>
        <v/>
      </c>
      <c r="D23" s="46">
        <f>Arbejdsark!D24</f>
        <v>0</v>
      </c>
      <c r="E23" s="45">
        <f>Arbejdsark!I24</f>
        <v>0</v>
      </c>
      <c r="F23" s="45">
        <f>Arbejdsark!J24</f>
        <v>0</v>
      </c>
      <c r="G23" s="45" t="e">
        <f>Arbejdsark!#REF!</f>
        <v>#REF!</v>
      </c>
      <c r="H23" s="45" t="e">
        <f>Arbejdsark!#REF!</f>
        <v>#REF!</v>
      </c>
      <c r="I23" s="45" t="str">
        <f>IF('Sortering af spørgsmål'!C9=Projektforudsætninger!$C$22,Arbejdsark!K63,"")</f>
        <v/>
      </c>
      <c r="J23" s="41" t="s">
        <v>9</v>
      </c>
      <c r="K23" s="41"/>
      <c r="L23" s="19"/>
      <c r="M23" s="19"/>
      <c r="N23" s="19"/>
      <c r="O23" s="19"/>
      <c r="P23" s="19"/>
      <c r="Q23" s="19"/>
      <c r="R23" s="19"/>
      <c r="S23" s="19"/>
      <c r="T23" s="19"/>
      <c r="U23" s="19"/>
    </row>
    <row r="24" spans="1:21" ht="113.65" customHeight="1" x14ac:dyDescent="0.45">
      <c r="A24" s="45" t="str">
        <f>Arbejdsark!$A$51</f>
        <v>Beplantning</v>
      </c>
      <c r="B24" s="43" t="str">
        <f>Arbejdsark!$B$68</f>
        <v>4.4</v>
      </c>
      <c r="C24" s="45" t="str">
        <f>IF('Sortering af spørgsmål'!C9=Projektforudsætninger!$C$22,Arbejdsark!C68,"")</f>
        <v/>
      </c>
      <c r="D24" s="46" t="str">
        <f>Arbejdsark!D25</f>
        <v>ENV2.1
Vægtning: ENV2.1 pkt. 3</v>
      </c>
      <c r="E24" s="45" t="str">
        <f>Arbejdsark!I25</f>
        <v>x</v>
      </c>
      <c r="F24" s="45">
        <f>Arbejdsark!J25</f>
        <v>0</v>
      </c>
      <c r="G24" s="45" t="e">
        <f>Arbejdsark!#REF!</f>
        <v>#REF!</v>
      </c>
      <c r="H24" s="45" t="e">
        <f>Arbejdsark!#REF!</f>
        <v>#REF!</v>
      </c>
      <c r="I24" s="45" t="str">
        <f>IF('Sortering af spørgsmål'!$C$9=Projektforudsætninger!$C$22,Arbejdsark!K68,"")</f>
        <v/>
      </c>
      <c r="J24" s="41" t="s">
        <v>9</v>
      </c>
      <c r="K24" s="41"/>
      <c r="L24" s="19"/>
      <c r="M24" s="19"/>
      <c r="N24" s="19"/>
      <c r="O24" s="19"/>
      <c r="P24" s="19"/>
      <c r="Q24" s="19"/>
      <c r="R24" s="19"/>
      <c r="S24" s="19"/>
      <c r="T24" s="19"/>
      <c r="U24" s="19"/>
    </row>
    <row r="25" spans="1:21" x14ac:dyDescent="0.45">
      <c r="A25" s="45"/>
      <c r="B25" s="134"/>
      <c r="C25" s="45"/>
      <c r="D25" s="46"/>
      <c r="E25" s="45"/>
      <c r="F25" s="45"/>
      <c r="G25" s="45"/>
      <c r="H25" s="45"/>
      <c r="I25" s="45"/>
      <c r="J25" s="47"/>
      <c r="K25" s="47"/>
      <c r="L25" s="19"/>
      <c r="M25" s="19"/>
      <c r="N25" s="19"/>
      <c r="O25" s="19"/>
      <c r="P25" s="19"/>
      <c r="Q25" s="19"/>
      <c r="R25" s="19"/>
      <c r="S25" s="19"/>
      <c r="T25" s="19"/>
      <c r="U25" s="19"/>
    </row>
    <row r="26" spans="1:21" ht="28.5" customHeight="1" x14ac:dyDescent="0.45">
      <c r="A26" s="50" t="str">
        <f>Arbejdsark!$A$73</f>
        <v>Bebyggelsestæthed</v>
      </c>
      <c r="B26" s="50">
        <v>5</v>
      </c>
      <c r="C26" s="50"/>
      <c r="D26" s="50"/>
      <c r="E26" s="50"/>
      <c r="F26" s="50"/>
      <c r="G26" s="50"/>
      <c r="H26" s="50"/>
      <c r="I26" s="50" t="str">
        <f>IF('Sortering af spørgsmål'!$C$10=Projektforudsætninger!$C$22,"Udfyld spørgsmål","Ingen spørgsmål")</f>
        <v>Ingen spørgsmål</v>
      </c>
      <c r="J26" s="51"/>
      <c r="K26" s="51"/>
      <c r="L26" s="19"/>
      <c r="M26" s="19"/>
      <c r="N26" s="19"/>
      <c r="O26" s="19"/>
      <c r="P26" s="19"/>
      <c r="Q26" s="19"/>
      <c r="R26" s="19"/>
      <c r="S26" s="19"/>
      <c r="T26" s="19"/>
      <c r="U26" s="19"/>
    </row>
    <row r="27" spans="1:21" ht="198.4" customHeight="1" x14ac:dyDescent="0.45">
      <c r="A27" s="45" t="str">
        <f>Arbejdsark!$A$73</f>
        <v>Bebyggelsestæthed</v>
      </c>
      <c r="B27" s="43" t="str">
        <f>Arbejdsark!$B$73</f>
        <v>5.1</v>
      </c>
      <c r="C27" s="45" t="str">
        <f>IF(Projektforudsætninger!C37=Projektforudsætninger!H7,IF('Sortering af spørgsmål'!C10=Projektforudsætninger!$C$22,Arbejdsark!C73,""),"")</f>
        <v/>
      </c>
      <c r="D27" s="46">
        <f>Arbejdsark!D27</f>
        <v>0</v>
      </c>
      <c r="E27" s="45">
        <f>Arbejdsark!I27</f>
        <v>0</v>
      </c>
      <c r="F27" s="45">
        <f>Arbejdsark!J27</f>
        <v>0</v>
      </c>
      <c r="G27" s="45" t="e">
        <f>Arbejdsark!#REF!</f>
        <v>#REF!</v>
      </c>
      <c r="H27" s="45" t="e">
        <f>Arbejdsark!#REF!</f>
        <v>#REF!</v>
      </c>
      <c r="I27" s="45" t="str">
        <f>IF(Projektforudsætninger!C37=Projektforudsætninger!H7,IF('Sortering af spørgsmål'!$C$10=Projektforudsætninger!$C$22,Arbejdsark!K73,""),"")</f>
        <v/>
      </c>
      <c r="J27" s="41" t="s">
        <v>9</v>
      </c>
      <c r="K27" s="41"/>
      <c r="L27" s="19"/>
      <c r="M27" s="19"/>
      <c r="N27" s="19"/>
      <c r="O27" s="19"/>
      <c r="P27" s="19"/>
      <c r="Q27" s="19"/>
      <c r="R27" s="19"/>
      <c r="S27" s="19"/>
      <c r="T27" s="19"/>
      <c r="U27" s="19"/>
    </row>
    <row r="28" spans="1:21" x14ac:dyDescent="0.45">
      <c r="A28" s="45"/>
      <c r="B28" s="45"/>
      <c r="C28" s="45"/>
      <c r="D28" s="46"/>
      <c r="E28" s="45"/>
      <c r="F28" s="45"/>
      <c r="G28" s="45"/>
      <c r="H28" s="45"/>
      <c r="I28" s="45"/>
      <c r="J28" s="47"/>
      <c r="K28" s="47"/>
      <c r="L28" s="19"/>
      <c r="M28" s="19"/>
      <c r="N28" s="19"/>
      <c r="O28" s="19"/>
      <c r="P28" s="19"/>
      <c r="Q28" s="19"/>
      <c r="R28" s="19"/>
      <c r="S28" s="19"/>
      <c r="T28" s="19"/>
      <c r="U28" s="19"/>
    </row>
    <row r="29" spans="1:21" ht="28.5" customHeight="1" x14ac:dyDescent="0.45">
      <c r="A29" s="50" t="str">
        <f>Arbejdsark!$A$78</f>
        <v>Forurening</v>
      </c>
      <c r="B29" s="50">
        <v>6</v>
      </c>
      <c r="C29" s="50"/>
      <c r="D29" s="50"/>
      <c r="E29" s="50"/>
      <c r="F29" s="50"/>
      <c r="G29" s="50"/>
      <c r="H29" s="50"/>
      <c r="I29" s="50" t="str">
        <f>IF('Sortering af spørgsmål'!$C$11=Projektforudsætninger!$C$22,"Udfyld spørgsmål","Ingen spørgsmål")</f>
        <v>Ingen spørgsmål</v>
      </c>
      <c r="J29" s="51"/>
      <c r="K29" s="51"/>
      <c r="L29" s="19"/>
      <c r="M29" s="19"/>
      <c r="N29" s="19"/>
      <c r="O29" s="19"/>
      <c r="P29" s="19"/>
      <c r="Q29" s="19"/>
      <c r="R29" s="19"/>
      <c r="S29" s="19"/>
      <c r="T29" s="19"/>
      <c r="U29" s="19"/>
    </row>
    <row r="30" spans="1:21" ht="226.9" customHeight="1" x14ac:dyDescent="0.45">
      <c r="A30" s="45" t="str">
        <f>Arbejdsark!$A$78</f>
        <v>Forurening</v>
      </c>
      <c r="B30" s="43" t="str">
        <f>Arbejdsark!$B$78</f>
        <v>6.1</v>
      </c>
      <c r="C30" s="45" t="str">
        <f>IF('Sortering af spørgsmål'!C11=Projektforudsætninger!$C$22,Arbejdsark!C78,"")</f>
        <v/>
      </c>
      <c r="D30" s="46">
        <f>Arbejdsark!D29</f>
        <v>0</v>
      </c>
      <c r="E30" s="45">
        <f>Arbejdsark!I29</f>
        <v>0</v>
      </c>
      <c r="F30" s="45">
        <f>Arbejdsark!J29</f>
        <v>0</v>
      </c>
      <c r="G30" s="45" t="e">
        <f>Arbejdsark!#REF!</f>
        <v>#REF!</v>
      </c>
      <c r="H30" s="45" t="e">
        <f>Arbejdsark!#REF!</f>
        <v>#REF!</v>
      </c>
      <c r="I30" s="45" t="str">
        <f>IF('Sortering af spørgsmål'!$C$11=Projektforudsætninger!$C$22,Arbejdsark!K78,"")</f>
        <v/>
      </c>
      <c r="J30" s="41" t="s">
        <v>9</v>
      </c>
      <c r="K30" s="41"/>
      <c r="L30" s="19"/>
      <c r="M30" s="19"/>
      <c r="N30" s="19"/>
      <c r="O30" s="19"/>
      <c r="P30" s="19"/>
      <c r="Q30" s="19"/>
      <c r="R30" s="19"/>
      <c r="S30" s="19"/>
      <c r="T30" s="19"/>
      <c r="U30" s="19"/>
    </row>
    <row r="31" spans="1:21" ht="198.4" customHeight="1" x14ac:dyDescent="0.45">
      <c r="A31" s="45" t="str">
        <f>Arbejdsark!$A$78</f>
        <v>Forurening</v>
      </c>
      <c r="B31" s="43" t="str">
        <f>Arbejdsark!$B$84</f>
        <v>6.2</v>
      </c>
      <c r="C31" s="45" t="str">
        <f>IF('Sortering af spørgsmål'!C11=Projektforudsætninger!$C$22,Arbejdsark!C84,"")</f>
        <v/>
      </c>
      <c r="D31" s="46">
        <f>Arbejdsark!D31</f>
        <v>0</v>
      </c>
      <c r="E31" s="45">
        <f>Arbejdsark!I31</f>
        <v>0</v>
      </c>
      <c r="F31" s="45">
        <f>Arbejdsark!J31</f>
        <v>0</v>
      </c>
      <c r="G31" s="45" t="e">
        <f>Arbejdsark!#REF!</f>
        <v>#REF!</v>
      </c>
      <c r="H31" s="45" t="e">
        <f>Arbejdsark!#REF!</f>
        <v>#REF!</v>
      </c>
      <c r="I31" s="45" t="str">
        <f>IF('Sortering af spørgsmål'!$C$11=Projektforudsætninger!$C$22,Arbejdsark!K84,"")</f>
        <v/>
      </c>
      <c r="J31" s="41" t="s">
        <v>9</v>
      </c>
      <c r="K31" s="41"/>
      <c r="L31" s="19"/>
      <c r="M31" s="19"/>
      <c r="N31" s="19"/>
      <c r="O31" s="19"/>
      <c r="P31" s="19"/>
      <c r="Q31" s="19"/>
      <c r="R31" s="19"/>
      <c r="S31" s="19"/>
      <c r="T31" s="19"/>
      <c r="U31" s="19"/>
    </row>
    <row r="32" spans="1:21" x14ac:dyDescent="0.45">
      <c r="A32" s="45"/>
      <c r="B32" s="45"/>
      <c r="C32" s="45"/>
      <c r="D32" s="46"/>
      <c r="E32" s="45"/>
      <c r="F32" s="45"/>
      <c r="G32" s="45"/>
      <c r="H32" s="45"/>
      <c r="I32" s="45"/>
      <c r="J32" s="47"/>
      <c r="K32" s="47"/>
      <c r="L32" s="19"/>
      <c r="M32" s="19"/>
      <c r="N32" s="19"/>
      <c r="O32" s="19"/>
      <c r="P32" s="19"/>
      <c r="Q32" s="19"/>
      <c r="R32" s="19"/>
      <c r="S32" s="19"/>
      <c r="T32" s="19"/>
      <c r="U32" s="19"/>
    </row>
    <row r="33" spans="1:30" ht="28.5" customHeight="1" x14ac:dyDescent="0.45">
      <c r="A33" s="66" t="str">
        <f>Arbejdsark!$A$89</f>
        <v>ØKONOMISK  KVALITET</v>
      </c>
      <c r="B33" s="36"/>
      <c r="C33" s="66"/>
      <c r="D33" s="66"/>
      <c r="E33" s="66"/>
      <c r="F33" s="66"/>
      <c r="G33" s="66"/>
      <c r="H33" s="66"/>
      <c r="I33" s="36"/>
      <c r="J33" s="39"/>
      <c r="K33" s="39"/>
      <c r="L33" s="19"/>
      <c r="M33" s="19"/>
      <c r="N33" s="19"/>
      <c r="O33" s="19"/>
      <c r="P33" s="19"/>
      <c r="Q33" s="19"/>
      <c r="R33" s="19"/>
      <c r="S33" s="19"/>
      <c r="T33" s="19"/>
      <c r="U33" s="19"/>
    </row>
    <row r="34" spans="1:30" ht="28.5" customHeight="1" x14ac:dyDescent="0.45">
      <c r="A34" s="58" t="str">
        <f>$A$4</f>
        <v>Tema</v>
      </c>
      <c r="B34" s="58" t="s">
        <v>179</v>
      </c>
      <c r="C34" s="58" t="str">
        <f>$C$4</f>
        <v>Emne</v>
      </c>
      <c r="D34" s="58" t="str">
        <f>D4</f>
        <v>DGNB kriterium</v>
      </c>
      <c r="E34" s="58" t="str">
        <f>E4</f>
        <v>Byggeudvalg eller Hovedbestyrelse</v>
      </c>
      <c r="F34" s="58" t="str">
        <f>F4</f>
        <v>Projektleder</v>
      </c>
      <c r="G34" s="58" t="str">
        <f>G4</f>
        <v>#REFERENCE!</v>
      </c>
      <c r="H34" s="58" t="str">
        <f>H4</f>
        <v>Ikon</v>
      </c>
      <c r="I34" s="58" t="str">
        <f>$I$4</f>
        <v>Spørgsmål</v>
      </c>
      <c r="J34" s="59" t="str">
        <f>$J$4</f>
        <v>Svar</v>
      </c>
      <c r="K34" s="59" t="str">
        <f>$K$4</f>
        <v>Uddybende kommentarer</v>
      </c>
      <c r="L34" s="19"/>
      <c r="M34" s="19"/>
      <c r="N34" s="19"/>
      <c r="O34" s="19"/>
      <c r="P34" s="19"/>
      <c r="Q34" s="19"/>
      <c r="R34" s="19"/>
      <c r="S34" s="19"/>
      <c r="T34" s="19"/>
      <c r="U34" s="19"/>
      <c r="AD34" s="294" t="s">
        <v>24</v>
      </c>
    </row>
    <row r="35" spans="1:30" ht="28.5" customHeight="1" x14ac:dyDescent="0.45">
      <c r="A35" s="36" t="str">
        <f>Arbejdsark!$A$91</f>
        <v>Levetidsomkostninger</v>
      </c>
      <c r="B35" s="36">
        <v>1</v>
      </c>
      <c r="C35" s="36"/>
      <c r="D35" s="36"/>
      <c r="E35" s="36"/>
      <c r="F35" s="36"/>
      <c r="G35" s="36"/>
      <c r="H35" s="36"/>
      <c r="I35" s="36" t="str">
        <f>IF('Sortering af spørgsmål'!$C$12=Projektforudsætninger!$C$22,"Udfyld spørgsmål","Ingen spørgsmål")</f>
        <v>Ingen spørgsmål</v>
      </c>
      <c r="J35" s="39"/>
      <c r="K35" s="39"/>
      <c r="L35" s="19"/>
      <c r="M35" s="19"/>
      <c r="N35" s="19"/>
      <c r="O35" s="19"/>
      <c r="P35" s="19"/>
      <c r="Q35" s="19"/>
      <c r="R35" s="19"/>
      <c r="S35" s="19"/>
      <c r="T35" s="19"/>
      <c r="U35" s="19"/>
      <c r="AD35" s="294" t="s">
        <v>26</v>
      </c>
    </row>
    <row r="36" spans="1:30" ht="170.25" customHeight="1" x14ac:dyDescent="0.45">
      <c r="A36" s="45" t="str">
        <f>Arbejdsark!$A$91</f>
        <v>Levetidsomkostninger</v>
      </c>
      <c r="B36" s="43" t="str">
        <f>Arbejdsark!$B$91</f>
        <v>1.1</v>
      </c>
      <c r="C36" s="45" t="str">
        <f>IF('Sortering af spørgsmål'!C12=Projektforudsætninger!$C$22,Arbejdsark!C91,"")</f>
        <v/>
      </c>
      <c r="D36" s="46" t="str">
        <f>Arbejdsark!D35</f>
        <v>ENV2.2
Vægtning: 20% af ENV2.2</v>
      </c>
      <c r="E36" s="45" t="str">
        <f>Arbejdsark!I35</f>
        <v>x</v>
      </c>
      <c r="F36" s="45">
        <f>Arbejdsark!J35</f>
        <v>0</v>
      </c>
      <c r="G36" s="45" t="e">
        <f>Arbejdsark!#REF!</f>
        <v>#REF!</v>
      </c>
      <c r="H36" s="45" t="e">
        <f>Arbejdsark!#REF!</f>
        <v>#REF!</v>
      </c>
      <c r="I36" s="45" t="str">
        <f>IF('Sortering af spørgsmål'!C12=Projektforudsætninger!$C$22,Arbejdsark!K91,"")</f>
        <v/>
      </c>
      <c r="J36" s="41" t="s">
        <v>9</v>
      </c>
      <c r="K36" s="41"/>
      <c r="L36" s="19"/>
      <c r="M36" s="19"/>
      <c r="N36" s="19"/>
      <c r="O36" s="19"/>
      <c r="P36" s="19"/>
      <c r="Q36" s="19"/>
      <c r="R36" s="19"/>
      <c r="S36" s="19"/>
      <c r="T36" s="19"/>
      <c r="U36" s="19"/>
      <c r="AD36" s="294" t="s">
        <v>28</v>
      </c>
    </row>
    <row r="37" spans="1:30" ht="70.900000000000006" customHeight="1" x14ac:dyDescent="0.45">
      <c r="A37" s="45" t="str">
        <f>Arbejdsark!$A$91</f>
        <v>Levetidsomkostninger</v>
      </c>
      <c r="B37" s="43" t="str">
        <f>Arbejdsark!$B$109</f>
        <v>1.2</v>
      </c>
      <c r="C37" s="45" t="str">
        <f>IF('Sortering af spørgsmål'!C12=Projektforudsætninger!$C$22,Arbejdsark!C109,"")</f>
        <v/>
      </c>
      <c r="D37" s="46">
        <f>Arbejdsark!D37</f>
        <v>0</v>
      </c>
      <c r="E37" s="45">
        <f>Arbejdsark!I37</f>
        <v>0</v>
      </c>
      <c r="F37" s="45">
        <f>Arbejdsark!J37</f>
        <v>0</v>
      </c>
      <c r="G37" s="45" t="e">
        <f>Arbejdsark!#REF!</f>
        <v>#REF!</v>
      </c>
      <c r="H37" s="45" t="e">
        <f>Arbejdsark!#REF!</f>
        <v>#REF!</v>
      </c>
      <c r="I37" s="45" t="str">
        <f>IF('Sortering af spørgsmål'!C12=Projektforudsætninger!$C$22,Arbejdsark!K109,"")</f>
        <v/>
      </c>
      <c r="J37" s="41" t="s">
        <v>9</v>
      </c>
      <c r="K37" s="41"/>
      <c r="L37" s="19"/>
      <c r="M37" s="19"/>
      <c r="N37" s="19"/>
      <c r="O37" s="19"/>
      <c r="P37" s="19"/>
      <c r="Q37" s="19"/>
      <c r="R37" s="19"/>
      <c r="S37" s="19"/>
      <c r="T37" s="19"/>
      <c r="U37" s="19"/>
      <c r="AD37" s="294" t="s">
        <v>31</v>
      </c>
    </row>
    <row r="38" spans="1:30" ht="23.25" x14ac:dyDescent="0.45">
      <c r="A38" s="45"/>
      <c r="B38" s="45"/>
      <c r="C38" s="45"/>
      <c r="D38" s="46"/>
      <c r="E38" s="45"/>
      <c r="F38" s="45"/>
      <c r="G38" s="45"/>
      <c r="H38" s="45"/>
      <c r="I38" s="45"/>
      <c r="J38" s="47"/>
      <c r="K38" s="47"/>
      <c r="L38" s="19"/>
      <c r="M38" s="19"/>
      <c r="N38" s="19"/>
      <c r="O38" s="19"/>
      <c r="P38" s="19"/>
      <c r="Q38" s="19"/>
      <c r="R38" s="19"/>
      <c r="S38" s="19"/>
      <c r="T38" s="19"/>
      <c r="U38" s="19"/>
      <c r="AD38" s="294" t="s">
        <v>33</v>
      </c>
    </row>
    <row r="39" spans="1:30" ht="28.5" customHeight="1" x14ac:dyDescent="0.45">
      <c r="A39" s="36" t="str">
        <f>Arbejdsark!$A$114</f>
        <v>Fleksibilitet</v>
      </c>
      <c r="B39" s="36" t="str">
        <f>Arbejdsark!$B$114</f>
        <v>2.1</v>
      </c>
      <c r="C39" s="36"/>
      <c r="D39" s="36"/>
      <c r="E39" s="36"/>
      <c r="F39" s="36"/>
      <c r="G39" s="36"/>
      <c r="H39" s="36"/>
      <c r="I39" s="36" t="str">
        <f>IF('Sortering af spørgsmål'!$C$13=Projektforudsætninger!$C$22,"Udfyld spørgsmål","Ingen spørgsmål")</f>
        <v>Ingen spørgsmål</v>
      </c>
      <c r="J39" s="39"/>
      <c r="K39" s="39"/>
      <c r="L39" s="19"/>
      <c r="M39" s="19"/>
      <c r="N39" s="19"/>
      <c r="O39" s="19"/>
      <c r="P39" s="19"/>
      <c r="Q39" s="19"/>
      <c r="R39" s="19"/>
      <c r="S39" s="19"/>
      <c r="T39" s="19"/>
      <c r="U39" s="19"/>
      <c r="AD39" s="294" t="s">
        <v>35</v>
      </c>
    </row>
    <row r="40" spans="1:30" ht="170.25" customHeight="1" x14ac:dyDescent="0.45">
      <c r="A40" s="45" t="str">
        <f>Arbejdsark!$A$114</f>
        <v>Fleksibilitet</v>
      </c>
      <c r="B40" s="43" t="str">
        <f>Arbejdsark!$B$114</f>
        <v>2.1</v>
      </c>
      <c r="C40" s="45" t="str">
        <f>IF('Sortering af spørgsmål'!C13=Projektforudsætninger!$C$22,Arbejdsark!C114,"")</f>
        <v/>
      </c>
      <c r="D40" s="46">
        <f>Arbejdsark!D39</f>
        <v>0</v>
      </c>
      <c r="E40" s="45">
        <f>Arbejdsark!I39</f>
        <v>0</v>
      </c>
      <c r="F40" s="45">
        <f>Arbejdsark!J39</f>
        <v>0</v>
      </c>
      <c r="G40" s="45" t="e">
        <f>Arbejdsark!#REF!</f>
        <v>#REF!</v>
      </c>
      <c r="H40" s="45" t="e">
        <f>Arbejdsark!#REF!</f>
        <v>#REF!</v>
      </c>
      <c r="I40" s="45" t="str">
        <f>IF('Sortering af spørgsmål'!$C$13=Projektforudsætninger!$C$22,Arbejdsark!K114,"")</f>
        <v/>
      </c>
      <c r="J40" s="41" t="s">
        <v>9</v>
      </c>
      <c r="K40" s="41"/>
      <c r="L40" s="19"/>
      <c r="M40" s="19"/>
      <c r="N40" s="19"/>
      <c r="O40" s="19"/>
      <c r="P40" s="19"/>
      <c r="Q40" s="19"/>
      <c r="R40" s="19"/>
      <c r="S40" s="19"/>
      <c r="T40" s="19"/>
      <c r="U40" s="19"/>
      <c r="AD40" s="294" t="s">
        <v>37</v>
      </c>
    </row>
    <row r="41" spans="1:30" ht="198.4" customHeight="1" x14ac:dyDescent="0.45">
      <c r="A41" s="45" t="str">
        <f>Arbejdsark!$A$114</f>
        <v>Fleksibilitet</v>
      </c>
      <c r="B41" s="43" t="str">
        <f>Arbejdsark!$B$119</f>
        <v>2.2</v>
      </c>
      <c r="C41" s="45" t="str">
        <f>IF('Sortering af spørgsmål'!C13=Projektforudsætninger!$C$22,Arbejdsark!C119,"")</f>
        <v/>
      </c>
      <c r="D41" s="46" t="str">
        <f>Arbejdsark!D40</f>
        <v>ENV2.2
Vægtning: 20% af ENV2.2</v>
      </c>
      <c r="E41" s="45" t="str">
        <f>Arbejdsark!I40</f>
        <v>x</v>
      </c>
      <c r="F41" s="45">
        <f>Arbejdsark!J40</f>
        <v>0</v>
      </c>
      <c r="G41" s="45" t="e">
        <f>Arbejdsark!#REF!</f>
        <v>#REF!</v>
      </c>
      <c r="H41" s="45" t="e">
        <f>Arbejdsark!#REF!</f>
        <v>#REF!</v>
      </c>
      <c r="I41" s="45" t="str">
        <f>IF('Sortering af spørgsmål'!$C$13=Projektforudsætninger!$C$22,Arbejdsark!K119,"")</f>
        <v/>
      </c>
      <c r="J41" s="41" t="s">
        <v>9</v>
      </c>
      <c r="K41" s="41"/>
      <c r="L41" s="19"/>
      <c r="M41" s="19"/>
      <c r="N41" s="19"/>
      <c r="O41" s="19"/>
      <c r="P41" s="19"/>
      <c r="Q41" s="19"/>
      <c r="R41" s="19"/>
      <c r="S41" s="19"/>
      <c r="T41" s="19"/>
      <c r="U41" s="19"/>
      <c r="AD41" s="294" t="s">
        <v>42</v>
      </c>
    </row>
    <row r="42" spans="1:30" ht="198.4" customHeight="1" x14ac:dyDescent="0.45">
      <c r="A42" s="45" t="str">
        <f>Arbejdsark!$A$114</f>
        <v>Fleksibilitet</v>
      </c>
      <c r="B42" s="43" t="str">
        <f>Arbejdsark!$B$124</f>
        <v>2.3</v>
      </c>
      <c r="C42" s="45" t="str">
        <f>IF('Sortering af spørgsmål'!C13=Projektforudsætninger!$C$22,Arbejdsark!C124,"")</f>
        <v/>
      </c>
      <c r="D42" s="46">
        <f>Arbejdsark!D41</f>
        <v>0</v>
      </c>
      <c r="E42" s="45">
        <f>Arbejdsark!I41</f>
        <v>0</v>
      </c>
      <c r="F42" s="45">
        <f>Arbejdsark!J41</f>
        <v>0</v>
      </c>
      <c r="G42" s="45" t="e">
        <f>Arbejdsark!#REF!</f>
        <v>#REF!</v>
      </c>
      <c r="H42" s="45" t="e">
        <f>Arbejdsark!#REF!</f>
        <v>#REF!</v>
      </c>
      <c r="I42" s="45" t="str">
        <f>IF('Sortering af spørgsmål'!C13=Projektforudsætninger!$C$22,Arbejdsark!K124,"")</f>
        <v/>
      </c>
      <c r="J42" s="41" t="s">
        <v>9</v>
      </c>
      <c r="K42" s="41"/>
      <c r="L42" s="19"/>
      <c r="M42" s="19"/>
      <c r="N42" s="19"/>
      <c r="O42" s="19"/>
      <c r="P42" s="19"/>
      <c r="Q42" s="19"/>
      <c r="R42" s="19"/>
      <c r="S42" s="19"/>
      <c r="T42" s="19"/>
      <c r="U42" s="19"/>
      <c r="AD42" s="294" t="s">
        <v>45</v>
      </c>
    </row>
    <row r="43" spans="1:30" ht="255.4" customHeight="1" x14ac:dyDescent="0.45">
      <c r="A43" s="45" t="str">
        <f>Arbejdsark!$A$114</f>
        <v>Fleksibilitet</v>
      </c>
      <c r="B43" s="43" t="str">
        <f>Arbejdsark!$B$129</f>
        <v>2.4</v>
      </c>
      <c r="C43" s="45" t="str">
        <f>IF('Sortering af spørgsmål'!C13=Projektforudsætninger!$C$22,Arbejdsark!C129,"")</f>
        <v/>
      </c>
      <c r="D43" s="46">
        <f>Arbejdsark!D42</f>
        <v>0</v>
      </c>
      <c r="E43" s="45">
        <f>Arbejdsark!I42</f>
        <v>0</v>
      </c>
      <c r="F43" s="45">
        <f>Arbejdsark!J42</f>
        <v>0</v>
      </c>
      <c r="G43" s="45" t="e">
        <f>Arbejdsark!#REF!</f>
        <v>#REF!</v>
      </c>
      <c r="H43" s="45" t="e">
        <f>Arbejdsark!#REF!</f>
        <v>#REF!</v>
      </c>
      <c r="I43" s="45" t="str">
        <f>IF('Sortering af spørgsmål'!C13=Projektforudsætninger!$C$22,Arbejdsark!K129,"")</f>
        <v/>
      </c>
      <c r="J43" s="41" t="s">
        <v>9</v>
      </c>
      <c r="K43" s="41"/>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spørgsmål'!C13=Projektforudsætninger!$C$22,Arbejdsark!C134,"")</f>
        <v/>
      </c>
      <c r="D44" s="46">
        <f>Arbejdsark!D43</f>
        <v>0</v>
      </c>
      <c r="E44" s="45">
        <f>Arbejdsark!I43</f>
        <v>0</v>
      </c>
      <c r="F44" s="45">
        <f>Arbejdsark!J43</f>
        <v>0</v>
      </c>
      <c r="G44" s="45" t="e">
        <f>Arbejdsark!#REF!</f>
        <v>#REF!</v>
      </c>
      <c r="H44" s="45" t="e">
        <f>Arbejdsark!#REF!</f>
        <v>#REF!</v>
      </c>
      <c r="I44" s="45" t="str">
        <f>IF('Sortering af spørgsmål'!C13=Projektforudsætninger!$C$22,Arbejdsark!K134,"")</f>
        <v/>
      </c>
      <c r="J44" s="41" t="s">
        <v>9</v>
      </c>
      <c r="K44" s="41"/>
      <c r="L44" s="19"/>
      <c r="M44" s="19"/>
      <c r="N44" s="19"/>
      <c r="O44" s="19"/>
      <c r="P44" s="19"/>
      <c r="Q44" s="19"/>
      <c r="R44" s="19"/>
      <c r="S44" s="19"/>
      <c r="T44" s="19"/>
      <c r="U44" s="19"/>
    </row>
    <row r="45" spans="1:30" ht="141.75" customHeight="1" x14ac:dyDescent="0.45">
      <c r="A45" s="45" t="str">
        <f>Arbejdsark!$A$114</f>
        <v>Fleksibilitet</v>
      </c>
      <c r="B45" s="43" t="str">
        <f>Arbejdsark!$B$139</f>
        <v>2.6</v>
      </c>
      <c r="C45" s="45" t="str">
        <f>IF('Sortering af spørgsmål'!C13=Projektforudsætninger!$C$22,Arbejdsark!C139,"")</f>
        <v/>
      </c>
      <c r="D45" s="46">
        <f>Arbejdsark!D44</f>
        <v>0</v>
      </c>
      <c r="E45" s="45">
        <f>Arbejdsark!I44</f>
        <v>0</v>
      </c>
      <c r="F45" s="45">
        <f>Arbejdsark!J44</f>
        <v>0</v>
      </c>
      <c r="G45" s="45" t="e">
        <f>Arbejdsark!#REF!</f>
        <v>#REF!</v>
      </c>
      <c r="H45" s="45" t="e">
        <f>Arbejdsark!#REF!</f>
        <v>#REF!</v>
      </c>
      <c r="I45" s="45" t="str">
        <f>IF('Sortering af spørgsmål'!C13=Projektforudsætninger!$C$22,Arbejdsark!K139,"")</f>
        <v/>
      </c>
      <c r="J45" s="41" t="s">
        <v>9</v>
      </c>
      <c r="K45" s="41"/>
      <c r="L45" s="19"/>
      <c r="M45" s="19"/>
      <c r="N45" s="19"/>
      <c r="O45" s="19"/>
      <c r="P45" s="19"/>
      <c r="Q45" s="19"/>
      <c r="R45" s="19"/>
      <c r="S45" s="19"/>
      <c r="T45" s="19"/>
      <c r="U45" s="19"/>
    </row>
    <row r="46" spans="1:30" ht="198.4" customHeight="1" x14ac:dyDescent="0.45">
      <c r="A46" s="45" t="str">
        <f>Arbejdsark!$A$114</f>
        <v>Fleksibilitet</v>
      </c>
      <c r="B46" s="43" t="str">
        <f>Arbejdsark!$B$144</f>
        <v>2.7</v>
      </c>
      <c r="C46" s="45" t="str">
        <f>IF('Sortering af spørgsmål'!C13=Projektforudsætninger!$C$22,Arbejdsark!C144,"")</f>
        <v/>
      </c>
      <c r="D46" s="46"/>
      <c r="E46" s="45"/>
      <c r="F46" s="45"/>
      <c r="G46" s="45"/>
      <c r="H46" s="45"/>
      <c r="I46" s="45" t="str">
        <f>IF('Sortering af spørgsmål'!C13=Projektforudsætninger!$C$22,Arbejdsark!K144,"")</f>
        <v/>
      </c>
      <c r="J46" s="41" t="s">
        <v>9</v>
      </c>
      <c r="K46" s="41"/>
      <c r="L46" s="19"/>
      <c r="M46" s="19"/>
      <c r="N46" s="19"/>
      <c r="O46" s="19"/>
      <c r="P46" s="19"/>
      <c r="Q46" s="19"/>
      <c r="R46" s="19"/>
      <c r="S46" s="19"/>
      <c r="T46" s="19"/>
      <c r="U46" s="19"/>
    </row>
    <row r="47" spans="1:30" ht="170.25" customHeight="1" x14ac:dyDescent="0.45">
      <c r="A47" s="45" t="str">
        <f>Arbejdsark!$A$114</f>
        <v>Fleksibilitet</v>
      </c>
      <c r="B47" s="43" t="str">
        <f>Arbejdsark!$B$149</f>
        <v>2.8</v>
      </c>
      <c r="C47" s="45" t="str">
        <f>IF('Sortering af spørgsmål'!C13=Projektforudsætninger!$C$22,Arbejdsark!C149,"")</f>
        <v/>
      </c>
      <c r="D47" s="46" t="str">
        <f>Arbejdsark!D45</f>
        <v>ENV2.2
Vægtning: 60% af ENV2.2</v>
      </c>
      <c r="E47" s="45" t="str">
        <f>Arbejdsark!I45</f>
        <v>x</v>
      </c>
      <c r="F47" s="45">
        <f>Arbejdsark!J45</f>
        <v>0</v>
      </c>
      <c r="G47" s="45" t="e">
        <f>Arbejdsark!#REF!</f>
        <v>#REF!</v>
      </c>
      <c r="H47" s="45" t="e">
        <f>Arbejdsark!#REF!</f>
        <v>#REF!</v>
      </c>
      <c r="I47" s="45" t="str">
        <f>IF('Sortering af spørgsmål'!C13=Projektforudsætninger!$C$22,Arbejdsark!K149,"")</f>
        <v/>
      </c>
      <c r="J47" s="41" t="s">
        <v>9</v>
      </c>
      <c r="K47" s="41"/>
      <c r="L47" s="19"/>
      <c r="M47" s="19"/>
      <c r="N47" s="19"/>
      <c r="O47" s="19"/>
      <c r="P47" s="19"/>
      <c r="Q47" s="19"/>
      <c r="R47" s="19"/>
      <c r="S47" s="19"/>
      <c r="T47" s="19"/>
      <c r="U47" s="19"/>
    </row>
    <row r="48" spans="1:30" x14ac:dyDescent="0.45">
      <c r="A48" s="45"/>
      <c r="B48" s="45"/>
      <c r="C48" s="45"/>
      <c r="D48" s="46"/>
      <c r="E48" s="45"/>
      <c r="F48" s="45"/>
      <c r="G48" s="45"/>
      <c r="H48" s="45"/>
      <c r="I48" s="45"/>
      <c r="J48" s="47"/>
      <c r="K48" s="47"/>
      <c r="L48" s="19"/>
      <c r="M48" s="19"/>
      <c r="N48" s="19"/>
      <c r="O48" s="19"/>
      <c r="P48" s="19"/>
      <c r="Q48" s="19"/>
      <c r="R48" s="19"/>
      <c r="S48" s="19"/>
      <c r="T48" s="19"/>
      <c r="U48" s="19"/>
    </row>
    <row r="49" spans="1:21" ht="28.5" customHeight="1" x14ac:dyDescent="0.45">
      <c r="A49" s="36" t="str">
        <f>Arbejdsark!$A$154</f>
        <v>Robusthed</v>
      </c>
      <c r="B49" s="36">
        <v>3</v>
      </c>
      <c r="C49" s="36"/>
      <c r="D49" s="36"/>
      <c r="E49" s="36"/>
      <c r="F49" s="36"/>
      <c r="G49" s="36"/>
      <c r="H49" s="36"/>
      <c r="I49" s="36" t="str">
        <f>IF('Sortering af spørgsmål'!$C$14=Projektforudsætninger!$C$22,"Udfyld spørgsmål","Ingen spørgsmål")</f>
        <v>Ingen spørgsmål</v>
      </c>
      <c r="J49" s="39"/>
      <c r="K49" s="39"/>
      <c r="L49" s="19"/>
      <c r="M49" s="19"/>
      <c r="N49" s="19"/>
      <c r="O49" s="19"/>
      <c r="P49" s="19"/>
      <c r="Q49" s="19"/>
      <c r="R49" s="19"/>
      <c r="S49" s="19"/>
      <c r="T49" s="19"/>
      <c r="U49" s="19"/>
    </row>
    <row r="50" spans="1:21" ht="70.900000000000006" customHeight="1" x14ac:dyDescent="0.45">
      <c r="A50" s="45" t="str">
        <f>Arbejdsark!$A$154</f>
        <v>Robusthed</v>
      </c>
      <c r="B50" s="43" t="str">
        <f>Arbejdsark!$B$154</f>
        <v>3.1</v>
      </c>
      <c r="C50" s="45" t="str">
        <f>IF('Sortering af spørgsmål'!$C$14=Projektforudsætninger!$C$22,Arbejdsark!C154,"")</f>
        <v/>
      </c>
      <c r="D50" s="46">
        <f>Arbejdsark!D47</f>
        <v>0</v>
      </c>
      <c r="E50" s="45">
        <f>Arbejdsark!I47</f>
        <v>0</v>
      </c>
      <c r="F50" s="45">
        <f>Arbejdsark!J47</f>
        <v>0</v>
      </c>
      <c r="G50" s="45" t="e">
        <f>Arbejdsark!#REF!</f>
        <v>#REF!</v>
      </c>
      <c r="H50" s="45" t="e">
        <f>Arbejdsark!#REF!</f>
        <v>#REF!</v>
      </c>
      <c r="I50" s="45" t="str">
        <f>IF('Sortering af spørgsmål'!$C$14=Projektforudsætninger!$C$22,Arbejdsark!K154,"")</f>
        <v/>
      </c>
      <c r="J50" s="41" t="s">
        <v>9</v>
      </c>
      <c r="K50" s="41"/>
      <c r="L50" s="19"/>
      <c r="M50" s="19"/>
      <c r="N50" s="19"/>
      <c r="O50" s="19"/>
      <c r="P50" s="19"/>
      <c r="Q50" s="19"/>
      <c r="R50" s="19"/>
      <c r="S50" s="19"/>
      <c r="T50" s="19"/>
      <c r="U50" s="19"/>
    </row>
    <row r="51" spans="1:21" ht="70.900000000000006" customHeight="1" x14ac:dyDescent="0.45">
      <c r="A51" s="45" t="str">
        <f>Arbejdsark!$A$154</f>
        <v>Robusthed</v>
      </c>
      <c r="B51" s="43" t="str">
        <f>Arbejdsark!$B$159</f>
        <v>3.2</v>
      </c>
      <c r="C51" s="45" t="str">
        <f>IF('Sortering af spørgsmål'!$C$14=Projektforudsætninger!$C$22,Arbejdsark!C159,"")</f>
        <v/>
      </c>
      <c r="D51" s="46">
        <f>Arbejdsark!D50</f>
        <v>0</v>
      </c>
      <c r="E51" s="45">
        <f>Arbejdsark!I50</f>
        <v>0</v>
      </c>
      <c r="F51" s="45">
        <f>Arbejdsark!J50</f>
        <v>0</v>
      </c>
      <c r="G51" s="45" t="e">
        <f>Arbejdsark!#REF!</f>
        <v>#REF!</v>
      </c>
      <c r="H51" s="45" t="e">
        <f>Arbejdsark!#REF!</f>
        <v>#REF!</v>
      </c>
      <c r="I51" s="45" t="str">
        <f>IF('Sortering af spørgsmål'!$C$14=Projektforudsætninger!$C$22,Arbejdsark!K159,"")</f>
        <v/>
      </c>
      <c r="J51" s="41" t="s">
        <v>9</v>
      </c>
      <c r="K51" s="41"/>
      <c r="L51" s="19"/>
      <c r="M51" s="19"/>
      <c r="N51" s="19"/>
      <c r="O51" s="19"/>
      <c r="P51" s="19"/>
      <c r="Q51" s="19"/>
      <c r="R51" s="19"/>
      <c r="S51" s="19"/>
      <c r="T51" s="19"/>
      <c r="U51" s="19"/>
    </row>
    <row r="52" spans="1:21" x14ac:dyDescent="0.45">
      <c r="A52" s="45"/>
      <c r="B52" s="45"/>
      <c r="C52" s="45"/>
      <c r="D52" s="46"/>
      <c r="E52" s="45"/>
      <c r="F52" s="45"/>
      <c r="G52" s="45"/>
      <c r="H52" s="45"/>
      <c r="I52" s="45"/>
      <c r="J52" s="47"/>
      <c r="K52" s="47"/>
      <c r="L52" s="19"/>
      <c r="M52" s="19"/>
      <c r="N52" s="19"/>
      <c r="O52" s="19"/>
      <c r="P52" s="19"/>
      <c r="Q52" s="19"/>
      <c r="R52" s="19"/>
      <c r="S52" s="19"/>
      <c r="T52" s="19"/>
      <c r="U52" s="19"/>
    </row>
    <row r="53" spans="1:21" ht="28.5" customHeight="1" x14ac:dyDescent="0.45">
      <c r="A53" s="56" t="str">
        <f>Arbejdsark!$A$165</f>
        <v>SOCIAL KVALITET</v>
      </c>
      <c r="B53" s="56"/>
      <c r="C53" s="56"/>
      <c r="D53" s="56"/>
      <c r="E53" s="56"/>
      <c r="F53" s="56"/>
      <c r="G53" s="56"/>
      <c r="H53" s="56"/>
      <c r="I53" s="57"/>
      <c r="J53" s="54"/>
      <c r="K53" s="54"/>
      <c r="L53" s="19"/>
      <c r="M53" s="19"/>
      <c r="N53" s="19"/>
      <c r="O53" s="19"/>
      <c r="P53" s="19"/>
      <c r="Q53" s="19"/>
      <c r="R53" s="19"/>
      <c r="S53" s="19"/>
      <c r="T53" s="19"/>
      <c r="U53" s="19"/>
    </row>
    <row r="54" spans="1:21" ht="28.5" customHeight="1" x14ac:dyDescent="0.45">
      <c r="A54" s="58" t="str">
        <f>$A$4</f>
        <v>Tema</v>
      </c>
      <c r="B54" s="58" t="s">
        <v>179</v>
      </c>
      <c r="C54" s="58" t="str">
        <f t="shared" ref="C54:I54" si="0">C4</f>
        <v>Emne</v>
      </c>
      <c r="D54" s="58" t="str">
        <f t="shared" si="0"/>
        <v>DGNB kriterium</v>
      </c>
      <c r="E54" s="58" t="str">
        <f t="shared" si="0"/>
        <v>Byggeudvalg eller Hovedbestyrelse</v>
      </c>
      <c r="F54" s="58" t="str">
        <f t="shared" si="0"/>
        <v>Projektleder</v>
      </c>
      <c r="G54" s="58" t="str">
        <f t="shared" si="0"/>
        <v>#REFERENCE!</v>
      </c>
      <c r="H54" s="58" t="str">
        <f t="shared" si="0"/>
        <v>Ikon</v>
      </c>
      <c r="I54" s="58" t="str">
        <f t="shared" si="0"/>
        <v>Spørgsmål</v>
      </c>
      <c r="J54" s="59" t="str">
        <f>$J$4</f>
        <v>Svar</v>
      </c>
      <c r="K54" s="59" t="str">
        <f>K4</f>
        <v>Uddybende kommentarer</v>
      </c>
      <c r="L54" s="19"/>
      <c r="M54" s="19"/>
      <c r="N54" s="19"/>
      <c r="O54" s="19"/>
      <c r="P54" s="19"/>
      <c r="Q54" s="19"/>
      <c r="R54" s="19"/>
      <c r="S54" s="19"/>
      <c r="T54" s="19"/>
      <c r="U54" s="19"/>
    </row>
    <row r="55" spans="1:21" ht="28.5" customHeight="1" x14ac:dyDescent="0.45">
      <c r="A55" s="57" t="str">
        <f>Arbejdsark!$A$167</f>
        <v>Indeklima</v>
      </c>
      <c r="B55" s="56">
        <v>1</v>
      </c>
      <c r="C55" s="57"/>
      <c r="D55" s="57"/>
      <c r="E55" s="57"/>
      <c r="F55" s="57"/>
      <c r="G55" s="57"/>
      <c r="H55" s="57"/>
      <c r="I55" s="57" t="str">
        <f>IF('Sortering af spørgsmål'!$C$15=Projektforudsætninger!$C$22,"Udfyld spørgsmål","Ingen spørgsmål")</f>
        <v>Ingen spørgsmål</v>
      </c>
      <c r="J55" s="54"/>
      <c r="K55" s="54"/>
      <c r="L55" s="19"/>
      <c r="M55" s="19"/>
      <c r="N55" s="19"/>
      <c r="O55" s="19"/>
      <c r="P55" s="19"/>
      <c r="Q55" s="19"/>
      <c r="R55" s="19"/>
      <c r="S55" s="19"/>
      <c r="T55" s="19"/>
      <c r="U55" s="19"/>
    </row>
    <row r="56" spans="1:21" ht="170.25" customHeight="1" x14ac:dyDescent="0.45">
      <c r="A56" s="58" t="str">
        <f>Arbejdsark!$A$167</f>
        <v>Indeklima</v>
      </c>
      <c r="B56" s="43" t="str">
        <f>Arbejdsark!$B$167</f>
        <v>1.1</v>
      </c>
      <c r="C56" s="45" t="str">
        <f>IF('Sortering af spørgsmål'!$C$15=Projektforudsætninger!$C$22,Arbejdsark!C167,"")</f>
        <v/>
      </c>
      <c r="D56" s="46">
        <f>Arbejdsark!D57</f>
        <v>0</v>
      </c>
      <c r="E56" s="45">
        <f>Arbejdsark!I57</f>
        <v>0</v>
      </c>
      <c r="F56" s="45">
        <f>Arbejdsark!J57</f>
        <v>0</v>
      </c>
      <c r="G56" s="45" t="e">
        <f>Arbejdsark!#REF!</f>
        <v>#REF!</v>
      </c>
      <c r="H56" s="45" t="e">
        <f>Arbejdsark!#REF!</f>
        <v>#REF!</v>
      </c>
      <c r="I56" s="45" t="str">
        <f>IF('Sortering af spørgsmål'!$C$15=Projektforudsætninger!$C$22,Arbejdsark!K167,"")</f>
        <v/>
      </c>
      <c r="J56" s="41" t="s">
        <v>9</v>
      </c>
      <c r="K56" s="41"/>
      <c r="L56" s="19"/>
      <c r="M56" s="19"/>
      <c r="N56" s="19"/>
      <c r="O56" s="19"/>
      <c r="P56" s="19"/>
      <c r="Q56" s="19"/>
      <c r="R56" s="19"/>
      <c r="S56" s="19"/>
      <c r="T56" s="19"/>
      <c r="U56" s="19"/>
    </row>
    <row r="57" spans="1:21" ht="113.65" customHeight="1" x14ac:dyDescent="0.45">
      <c r="A57" s="58" t="str">
        <f>Arbejdsark!$A$167</f>
        <v>Indeklima</v>
      </c>
      <c r="B57" s="43" t="str">
        <f>Arbejdsark!$B$172</f>
        <v>1.2</v>
      </c>
      <c r="C57" s="45" t="str">
        <f>IF('Sortering af spørgsmål'!$C$15=Projektforudsætninger!$C$22,Arbejdsark!C172,"")</f>
        <v/>
      </c>
      <c r="D57" s="46" t="str">
        <f>Arbejdsark!D58</f>
        <v>Vægtning: SOC1.6 pkt. 2.4</v>
      </c>
      <c r="E57" s="45" t="str">
        <f>Arbejdsark!I58</f>
        <v>x</v>
      </c>
      <c r="F57" s="45">
        <f>Arbejdsark!J58</f>
        <v>0</v>
      </c>
      <c r="G57" s="45" t="e">
        <f>Arbejdsark!#REF!</f>
        <v>#REF!</v>
      </c>
      <c r="H57" s="45" t="e">
        <f>Arbejdsark!#REF!</f>
        <v>#REF!</v>
      </c>
      <c r="I57" s="45" t="str">
        <f>IF('Sortering af spørgsmål'!$C$15=Projektforudsætninger!$C$22,Arbejdsark!K172,"")</f>
        <v/>
      </c>
      <c r="J57" s="41" t="s">
        <v>9</v>
      </c>
      <c r="K57" s="41"/>
      <c r="L57" s="19"/>
      <c r="M57" s="19"/>
      <c r="N57" s="19"/>
      <c r="O57" s="19"/>
      <c r="P57" s="19"/>
      <c r="Q57" s="19"/>
      <c r="R57" s="19"/>
      <c r="S57" s="19"/>
      <c r="T57" s="19"/>
      <c r="U57" s="19"/>
    </row>
    <row r="58" spans="1:21" ht="113.65" customHeight="1" x14ac:dyDescent="0.45">
      <c r="A58" s="58" t="str">
        <f>Arbejdsark!$A$167</f>
        <v>Indeklima</v>
      </c>
      <c r="B58" s="43" t="str">
        <f>Arbejdsark!$B$177</f>
        <v>1.3</v>
      </c>
      <c r="C58" s="45" t="str">
        <f>IF('Sortering af spørgsmål'!$C$15=Projektforudsætninger!$C$22,Arbejdsark!C177,"")</f>
        <v/>
      </c>
      <c r="D58" s="46">
        <f>Arbejdsark!D59</f>
        <v>0</v>
      </c>
      <c r="E58" s="45">
        <f>Arbejdsark!I59</f>
        <v>0</v>
      </c>
      <c r="F58" s="45">
        <f>Arbejdsark!J59</f>
        <v>0</v>
      </c>
      <c r="G58" s="45" t="e">
        <f>Arbejdsark!#REF!</f>
        <v>#REF!</v>
      </c>
      <c r="H58" s="45" t="e">
        <f>Arbejdsark!#REF!</f>
        <v>#REF!</v>
      </c>
      <c r="I58" s="45" t="str">
        <f>IF('Sortering af spørgsmål'!$C$15=Projektforudsætninger!$C$22,Arbejdsark!K177,"")</f>
        <v/>
      </c>
      <c r="J58" s="41" t="s">
        <v>9</v>
      </c>
      <c r="K58" s="41"/>
      <c r="L58" s="19"/>
      <c r="M58" s="19"/>
      <c r="N58" s="19"/>
      <c r="O58" s="19"/>
      <c r="P58" s="19"/>
      <c r="Q58" s="19"/>
      <c r="R58" s="19"/>
      <c r="S58" s="19"/>
      <c r="T58" s="19"/>
      <c r="U58" s="19"/>
    </row>
    <row r="59" spans="1:21" ht="170.25" customHeight="1" x14ac:dyDescent="0.45">
      <c r="A59" s="58" t="str">
        <f>Arbejdsark!$A$167</f>
        <v>Indeklima</v>
      </c>
      <c r="B59" s="43" t="str">
        <f>Arbejdsark!$B$182</f>
        <v>1.4</v>
      </c>
      <c r="C59" s="45" t="str">
        <f>IF('Sortering af spørgsmål'!$C$15=Projektforudsætninger!$C$22,Arbejdsark!C182,"")</f>
        <v/>
      </c>
      <c r="D59" s="46" t="str">
        <f>Arbejdsark!D58</f>
        <v>Vægtning: SOC1.6 pkt. 2.4</v>
      </c>
      <c r="E59" s="45" t="str">
        <f>Arbejdsark!I58</f>
        <v>x</v>
      </c>
      <c r="F59" s="45">
        <f>Arbejdsark!J58</f>
        <v>0</v>
      </c>
      <c r="G59" s="45" t="e">
        <f>Arbejdsark!#REF!</f>
        <v>#REF!</v>
      </c>
      <c r="H59" s="45" t="e">
        <f>Arbejdsark!#REF!</f>
        <v>#REF!</v>
      </c>
      <c r="I59" s="45" t="str">
        <f>IF('Sortering af spørgsmål'!$C$15=Projektforudsætninger!$C$22,Arbejdsark!K182,"")</f>
        <v/>
      </c>
      <c r="J59" s="41" t="s">
        <v>9</v>
      </c>
      <c r="K59" s="41"/>
      <c r="L59" s="19"/>
      <c r="M59" s="19"/>
      <c r="N59" s="19"/>
      <c r="O59" s="19"/>
      <c r="P59" s="19"/>
      <c r="Q59" s="19"/>
      <c r="R59" s="19"/>
      <c r="S59" s="19"/>
      <c r="T59" s="19"/>
      <c r="U59" s="19"/>
    </row>
    <row r="60" spans="1:21" ht="183" customHeight="1" x14ac:dyDescent="0.45">
      <c r="A60" s="58" t="str">
        <f>Arbejdsark!$A$167</f>
        <v>Indeklima</v>
      </c>
      <c r="B60" s="43" t="str">
        <f>Arbejdsark!$B$187</f>
        <v>1.5</v>
      </c>
      <c r="C60" s="45" t="str">
        <f>IF('Sortering af spørgsmål'!$C$15=Projektforudsætninger!$C$22,Arbejdsark!C187,"")</f>
        <v/>
      </c>
      <c r="D60" s="46">
        <f>Arbejdsark!D59</f>
        <v>0</v>
      </c>
      <c r="E60" s="45">
        <f>Arbejdsark!I59</f>
        <v>0</v>
      </c>
      <c r="F60" s="45">
        <f>Arbejdsark!J59</f>
        <v>0</v>
      </c>
      <c r="G60" s="45" t="e">
        <f>Arbejdsark!#REF!</f>
        <v>#REF!</v>
      </c>
      <c r="H60" s="45" t="e">
        <f>Arbejdsark!#REF!</f>
        <v>#REF!</v>
      </c>
      <c r="I60" s="45" t="str">
        <f>IF('Sortering af spørgsmål'!$C$15=Projektforudsætninger!$C$22,Arbejdsark!K187,"")</f>
        <v/>
      </c>
      <c r="J60" s="41" t="s">
        <v>9</v>
      </c>
      <c r="K60" s="41"/>
      <c r="L60" s="19"/>
      <c r="M60" s="19"/>
      <c r="N60" s="19"/>
      <c r="O60" s="19"/>
      <c r="P60" s="19"/>
      <c r="Q60" s="19"/>
      <c r="R60" s="19"/>
      <c r="S60" s="19"/>
      <c r="T60" s="19"/>
      <c r="U60" s="19"/>
    </row>
    <row r="61" spans="1:21" ht="85.15" customHeight="1" x14ac:dyDescent="0.45">
      <c r="A61" s="58" t="str">
        <f>Arbejdsark!$A$167</f>
        <v>Indeklima</v>
      </c>
      <c r="B61" s="43" t="str">
        <f>Arbejdsark!$B$192</f>
        <v>1.6</v>
      </c>
      <c r="C61" s="45" t="str">
        <f>IF('Sortering af spørgsmål'!$C$15=Projektforudsætninger!$C$22,Arbejdsark!C192,"")</f>
        <v/>
      </c>
      <c r="D61" s="46"/>
      <c r="E61" s="45"/>
      <c r="F61" s="45"/>
      <c r="G61" s="45"/>
      <c r="H61" s="45"/>
      <c r="I61" s="45" t="str">
        <f>IF('Sortering af spørgsmål'!$C$15=Projektforudsætninger!$C$22,Arbejdsark!K192,"")</f>
        <v/>
      </c>
      <c r="J61" s="41" t="s">
        <v>9</v>
      </c>
      <c r="K61" s="41"/>
      <c r="L61" s="19"/>
      <c r="M61" s="19"/>
      <c r="N61" s="19"/>
      <c r="O61" s="19"/>
      <c r="P61" s="19"/>
      <c r="Q61" s="19"/>
      <c r="R61" s="19"/>
      <c r="S61" s="19"/>
      <c r="T61" s="19"/>
      <c r="U61" s="19"/>
    </row>
    <row r="62" spans="1:21" ht="141.75" customHeight="1" x14ac:dyDescent="0.45">
      <c r="A62" s="58" t="str">
        <f>Arbejdsark!$A$167</f>
        <v>Indeklima</v>
      </c>
      <c r="B62" s="43" t="str">
        <f>Arbejdsark!$B$197</f>
        <v>1.7</v>
      </c>
      <c r="C62" s="45" t="str">
        <f>IF('Sortering af spørgsmål'!$C$15=Projektforudsætninger!$C$22,Arbejdsark!C197,"")</f>
        <v/>
      </c>
      <c r="D62" s="46">
        <f>Arbejdsark!D60</f>
        <v>0</v>
      </c>
      <c r="E62" s="45">
        <f>Arbejdsark!I60</f>
        <v>0</v>
      </c>
      <c r="F62" s="45">
        <f>Arbejdsark!J60</f>
        <v>0</v>
      </c>
      <c r="G62" s="45" t="e">
        <f>Arbejdsark!#REF!</f>
        <v>#REF!</v>
      </c>
      <c r="H62" s="45" t="e">
        <f>Arbejdsark!#REF!</f>
        <v>#REF!</v>
      </c>
      <c r="I62" s="45" t="str">
        <f>IF('Sortering af spørgsmål'!$C$15=Projektforudsætninger!$C$22,Arbejdsark!K197,"")</f>
        <v/>
      </c>
      <c r="J62" s="41" t="s">
        <v>9</v>
      </c>
      <c r="K62" s="41"/>
      <c r="L62" s="19"/>
      <c r="M62" s="19"/>
      <c r="N62" s="19"/>
      <c r="O62" s="19"/>
      <c r="P62" s="19"/>
      <c r="Q62" s="19"/>
      <c r="R62" s="19"/>
      <c r="S62" s="19"/>
      <c r="T62" s="19"/>
      <c r="U62" s="19"/>
    </row>
    <row r="63" spans="1:21" ht="141.75" customHeight="1" x14ac:dyDescent="0.45">
      <c r="A63" s="58" t="str">
        <f>Arbejdsark!$A$167</f>
        <v>Indeklima</v>
      </c>
      <c r="B63" s="43" t="str">
        <f>Arbejdsark!$B$202</f>
        <v>1.8</v>
      </c>
      <c r="C63" s="45" t="str">
        <f>IF('Sortering af spørgsmål'!$C$15=Projektforudsætninger!$C$22,Arbejdsark!C202,"")</f>
        <v/>
      </c>
      <c r="D63" s="46">
        <f>Arbejdsark!D61</f>
        <v>0</v>
      </c>
      <c r="E63" s="45">
        <f>Arbejdsark!I61</f>
        <v>0</v>
      </c>
      <c r="F63" s="45">
        <f>Arbejdsark!J61</f>
        <v>0</v>
      </c>
      <c r="G63" s="45" t="e">
        <f>Arbejdsark!#REF!</f>
        <v>#REF!</v>
      </c>
      <c r="H63" s="45" t="e">
        <f>Arbejdsark!#REF!</f>
        <v>#REF!</v>
      </c>
      <c r="I63" s="45" t="str">
        <f>IF('Sortering af spørgsmål'!$C$15=Projektforudsætninger!$C$22,Arbejdsark!K202,"")</f>
        <v/>
      </c>
      <c r="J63" s="41" t="s">
        <v>9</v>
      </c>
      <c r="K63" s="41"/>
      <c r="L63" s="19"/>
      <c r="M63" s="19"/>
      <c r="N63" s="19"/>
      <c r="O63" s="19"/>
      <c r="P63" s="19"/>
      <c r="Q63" s="19"/>
      <c r="R63" s="19"/>
      <c r="S63" s="19"/>
      <c r="T63" s="19"/>
      <c r="U63" s="19"/>
    </row>
    <row r="64" spans="1:21" ht="85.15" customHeight="1" x14ac:dyDescent="0.45">
      <c r="A64" s="58" t="str">
        <f>Arbejdsark!$A$167</f>
        <v>Indeklima</v>
      </c>
      <c r="B64" s="43" t="str">
        <f>Arbejdsark!$B$207</f>
        <v>1.9</v>
      </c>
      <c r="C64" s="45" t="str">
        <f>IF('Sortering af spørgsmål'!$C$15=Projektforudsætninger!$C$22,Arbejdsark!C207,"")</f>
        <v/>
      </c>
      <c r="D64" s="46">
        <f>Arbejdsark!D62</f>
        <v>0</v>
      </c>
      <c r="E64" s="45">
        <f>Arbejdsark!I62</f>
        <v>0</v>
      </c>
      <c r="F64" s="45">
        <f>Arbejdsark!J62</f>
        <v>0</v>
      </c>
      <c r="G64" s="45" t="e">
        <f>Arbejdsark!#REF!</f>
        <v>#REF!</v>
      </c>
      <c r="H64" s="45" t="e">
        <f>Arbejdsark!#REF!</f>
        <v>#REF!</v>
      </c>
      <c r="I64" s="45" t="str">
        <f>IF('Sortering af spørgsmål'!$C$15=Projektforudsætninger!$C$22,Arbejdsark!K207,"")</f>
        <v/>
      </c>
      <c r="J64" s="41" t="s">
        <v>9</v>
      </c>
      <c r="K64" s="41"/>
      <c r="L64" s="19"/>
      <c r="M64" s="19"/>
      <c r="N64" s="19"/>
      <c r="O64" s="19"/>
      <c r="P64" s="19"/>
      <c r="Q64" s="19"/>
      <c r="R64" s="19"/>
      <c r="S64" s="19"/>
      <c r="T64" s="19"/>
      <c r="U64" s="19"/>
    </row>
    <row r="65" spans="1:21" ht="127.5" customHeight="1" x14ac:dyDescent="0.45">
      <c r="A65" s="58" t="str">
        <f>Arbejdsark!$A$167</f>
        <v>Indeklima</v>
      </c>
      <c r="B65" s="43" t="str">
        <f>Arbejdsark!$B$212</f>
        <v>1.10</v>
      </c>
      <c r="C65" s="45" t="str">
        <f>IF('Sortering af spørgsmål'!$C$15=Projektforudsætninger!$C$22,Arbejdsark!C212,"")</f>
        <v/>
      </c>
      <c r="D65" s="46" t="str">
        <f>Arbejdsark!D63</f>
        <v>SOC1.6
Vægtning: 20% af SOC1.6 pkt 2.8</v>
      </c>
      <c r="E65" s="45" t="str">
        <f>Arbejdsark!I63</f>
        <v>x</v>
      </c>
      <c r="F65" s="45">
        <f>Arbejdsark!J63</f>
        <v>0</v>
      </c>
      <c r="G65" s="45" t="e">
        <f>Arbejdsark!#REF!</f>
        <v>#REF!</v>
      </c>
      <c r="H65" s="45" t="e">
        <f>Arbejdsark!#REF!</f>
        <v>#REF!</v>
      </c>
      <c r="I65" s="45" t="str">
        <f>IF('Sortering af spørgsmål'!$C$15=Projektforudsætninger!$C$22,Arbejdsark!K212,"")</f>
        <v/>
      </c>
      <c r="J65" s="41" t="s">
        <v>9</v>
      </c>
      <c r="K65" s="41"/>
      <c r="L65" s="19"/>
      <c r="M65" s="19"/>
      <c r="N65" s="19"/>
      <c r="O65" s="19"/>
      <c r="P65" s="19"/>
      <c r="Q65" s="19"/>
      <c r="R65" s="19"/>
      <c r="S65" s="19"/>
      <c r="T65" s="19"/>
      <c r="U65" s="19"/>
    </row>
    <row r="66" spans="1:21" x14ac:dyDescent="0.45">
      <c r="A66" s="45"/>
      <c r="B66" s="45"/>
      <c r="C66" s="45"/>
      <c r="D66" s="46"/>
      <c r="E66" s="45"/>
      <c r="F66" s="45"/>
      <c r="G66" s="45"/>
      <c r="H66" s="45"/>
      <c r="I66" s="45"/>
      <c r="J66" s="47"/>
      <c r="K66" s="47"/>
      <c r="L66" s="19"/>
      <c r="M66" s="19"/>
      <c r="N66" s="19"/>
      <c r="O66" s="19"/>
      <c r="P66" s="19"/>
      <c r="Q66" s="19"/>
      <c r="R66" s="19"/>
      <c r="S66" s="19"/>
      <c r="T66" s="19"/>
      <c r="U66" s="19"/>
    </row>
    <row r="67" spans="1:21" ht="28.5" customHeight="1" x14ac:dyDescent="0.45">
      <c r="A67" s="57" t="str">
        <f>Arbejdsark!$A$217</f>
        <v>Brugerstyring</v>
      </c>
      <c r="B67" s="57">
        <v>2</v>
      </c>
      <c r="C67" s="57"/>
      <c r="D67" s="57"/>
      <c r="E67" s="57"/>
      <c r="F67" s="57"/>
      <c r="G67" s="57"/>
      <c r="H67" s="57"/>
      <c r="I67" s="57" t="str">
        <f>IF('Sortering af spørgsmål'!$C$16=Projektforudsætninger!$C$22,"Udfyld spørgsmål","Ingen spørgsmål")</f>
        <v>Ingen spørgsmål</v>
      </c>
      <c r="J67" s="54"/>
      <c r="K67" s="54"/>
      <c r="L67" s="19"/>
      <c r="M67" s="19"/>
      <c r="N67" s="19"/>
      <c r="O67" s="19"/>
      <c r="P67" s="19"/>
      <c r="Q67" s="19"/>
      <c r="R67" s="19"/>
      <c r="S67" s="19"/>
      <c r="T67" s="19"/>
      <c r="U67" s="19"/>
    </row>
    <row r="68" spans="1:21" ht="85.15" customHeight="1" x14ac:dyDescent="0.45">
      <c r="A68" s="45" t="str">
        <f>Arbejdsark!$A$217</f>
        <v>Brugerstyring</v>
      </c>
      <c r="B68" s="43" t="str">
        <f>Arbejdsark!$B$217</f>
        <v>2.1</v>
      </c>
      <c r="C68" s="45" t="str">
        <f>IF('Sortering af spørgsmål'!$C$16=Projektforudsætninger!$C$22,Arbejdsark!C217,"")</f>
        <v/>
      </c>
      <c r="D68" s="46">
        <f>Arbejdsark!D62</f>
        <v>0</v>
      </c>
      <c r="E68" s="45">
        <f>Arbejdsark!I62</f>
        <v>0</v>
      </c>
      <c r="F68" s="45">
        <f>Arbejdsark!J62</f>
        <v>0</v>
      </c>
      <c r="G68" s="45" t="e">
        <f>Arbejdsark!#REF!</f>
        <v>#REF!</v>
      </c>
      <c r="H68" s="45" t="e">
        <f>Arbejdsark!#REF!</f>
        <v>#REF!</v>
      </c>
      <c r="I68" s="45" t="str">
        <f>IF('Sortering af spørgsmål'!$C$16=Projektforudsætninger!$C$22,Arbejdsark!K217,"")</f>
        <v/>
      </c>
      <c r="J68" s="41" t="s">
        <v>9</v>
      </c>
      <c r="K68" s="41"/>
      <c r="L68" s="19"/>
      <c r="M68" s="19"/>
      <c r="N68" s="19"/>
      <c r="O68" s="19"/>
      <c r="P68" s="19"/>
      <c r="Q68" s="19"/>
      <c r="R68" s="19"/>
      <c r="S68" s="19"/>
      <c r="T68" s="19"/>
      <c r="U68" s="19"/>
    </row>
    <row r="69" spans="1:21" ht="85.15" customHeight="1" x14ac:dyDescent="0.45">
      <c r="A69" s="45" t="str">
        <f>Arbejdsark!$A$217</f>
        <v>Brugerstyring</v>
      </c>
      <c r="B69" s="43" t="str">
        <f>Arbejdsark!$B$222</f>
        <v>2.2</v>
      </c>
      <c r="C69" s="45" t="str">
        <f>IF('Sortering af spørgsmål'!$C$16=Projektforudsætninger!$C$22,Arbejdsark!C222,"")</f>
        <v/>
      </c>
      <c r="D69" s="46" t="str">
        <f>Arbejdsark!D63</f>
        <v>SOC1.6
Vægtning: 20% af SOC1.6 pkt 2.8</v>
      </c>
      <c r="E69" s="45" t="str">
        <f>Arbejdsark!I63</f>
        <v>x</v>
      </c>
      <c r="F69" s="45">
        <f>Arbejdsark!J63</f>
        <v>0</v>
      </c>
      <c r="G69" s="45" t="e">
        <f>Arbejdsark!#REF!</f>
        <v>#REF!</v>
      </c>
      <c r="H69" s="45" t="e">
        <f>Arbejdsark!#REF!</f>
        <v>#REF!</v>
      </c>
      <c r="I69" s="45" t="str">
        <f>IF('Sortering af spørgsmål'!$C$16=Projektforudsætninger!$C$22,Arbejdsark!K222,"")</f>
        <v/>
      </c>
      <c r="J69" s="41" t="s">
        <v>9</v>
      </c>
      <c r="K69" s="41"/>
      <c r="L69" s="19"/>
      <c r="M69" s="19"/>
      <c r="N69" s="19"/>
      <c r="O69" s="19"/>
      <c r="P69" s="19"/>
      <c r="Q69" s="19"/>
      <c r="R69" s="19"/>
      <c r="S69" s="19"/>
      <c r="T69" s="19"/>
      <c r="U69" s="19"/>
    </row>
    <row r="70" spans="1:21" ht="85.15" customHeight="1" x14ac:dyDescent="0.45">
      <c r="A70" s="45" t="str">
        <f>Arbejdsark!$A$217</f>
        <v>Brugerstyring</v>
      </c>
      <c r="B70" s="43" t="str">
        <f>Arbejdsark!$B$227</f>
        <v>2.3</v>
      </c>
      <c r="C70" s="45" t="str">
        <f>IF('Sortering af spørgsmål'!$C$16=Projektforudsætninger!$C$22,Arbejdsark!C227,"")</f>
        <v/>
      </c>
      <c r="D70" s="46">
        <f>Arbejdsark!D64</f>
        <v>0</v>
      </c>
      <c r="E70" s="45">
        <f>Arbejdsark!I64</f>
        <v>0</v>
      </c>
      <c r="F70" s="45">
        <f>Arbejdsark!J64</f>
        <v>0</v>
      </c>
      <c r="G70" s="45" t="e">
        <f>Arbejdsark!#REF!</f>
        <v>#REF!</v>
      </c>
      <c r="H70" s="45" t="e">
        <f>Arbejdsark!#REF!</f>
        <v>#REF!</v>
      </c>
      <c r="I70" s="45" t="str">
        <f>IF('Sortering af spørgsmål'!$C$16=Projektforudsætninger!$C$22,Arbejdsark!K227,"")</f>
        <v/>
      </c>
      <c r="J70" s="41" t="s">
        <v>9</v>
      </c>
      <c r="K70" s="41"/>
      <c r="L70" s="19"/>
      <c r="M70" s="19"/>
      <c r="N70" s="19"/>
      <c r="O70" s="19"/>
      <c r="P70" s="19"/>
      <c r="Q70" s="19"/>
      <c r="R70" s="19"/>
      <c r="S70" s="19"/>
      <c r="T70" s="19"/>
      <c r="U70" s="19"/>
    </row>
    <row r="71" spans="1:21" x14ac:dyDescent="0.45">
      <c r="A71" s="45"/>
      <c r="B71" s="45"/>
      <c r="C71" s="45"/>
      <c r="D71" s="46"/>
      <c r="E71" s="45"/>
      <c r="F71" s="45"/>
      <c r="G71" s="45"/>
      <c r="H71" s="45"/>
      <c r="I71" s="45"/>
      <c r="J71" s="47"/>
      <c r="K71" s="47"/>
      <c r="L71" s="19"/>
      <c r="M71" s="19"/>
      <c r="N71" s="19"/>
      <c r="O71" s="19"/>
      <c r="P71" s="19"/>
      <c r="Q71" s="19"/>
      <c r="R71" s="19"/>
      <c r="S71" s="19"/>
      <c r="T71" s="19"/>
      <c r="U71" s="19"/>
    </row>
    <row r="72" spans="1:21" ht="28.5" customHeight="1" x14ac:dyDescent="0.45">
      <c r="A72" s="57" t="str">
        <f>Arbejdsark!$A$234</f>
        <v>Tilgængelighed</v>
      </c>
      <c r="B72" s="57">
        <v>3</v>
      </c>
      <c r="C72" s="57"/>
      <c r="D72" s="57"/>
      <c r="E72" s="57"/>
      <c r="F72" s="57"/>
      <c r="G72" s="57"/>
      <c r="H72" s="57"/>
      <c r="I72" s="57" t="str">
        <f>IF('Sortering af spørgsmål'!$C$17=Projektforudsætninger!$C$22,"Udfyld spørgsmål","Ingen spørgsmål")</f>
        <v>Ingen spørgsmål</v>
      </c>
      <c r="J72" s="54"/>
      <c r="K72" s="54"/>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spørgsmål'!$C$17=Projektforudsætninger!$C$22,Arbejdsark!C234,"")</f>
        <v/>
      </c>
      <c r="D73" s="46">
        <f>Arbejdsark!D67</f>
        <v>0</v>
      </c>
      <c r="E73" s="45">
        <f>Arbejdsark!I67</f>
        <v>0</v>
      </c>
      <c r="F73" s="45">
        <f>Arbejdsark!J67</f>
        <v>0</v>
      </c>
      <c r="G73" s="45" t="e">
        <f>Arbejdsark!#REF!</f>
        <v>#REF!</v>
      </c>
      <c r="H73" s="45" t="e">
        <f>Arbejdsark!#REF!</f>
        <v>#REF!</v>
      </c>
      <c r="I73" s="45" t="str">
        <f>IF('Sortering af spørgsmål'!$C$17=Projektforudsætninger!$C$22,Arbejdsark!K234,"")</f>
        <v/>
      </c>
      <c r="J73" s="41" t="s">
        <v>9</v>
      </c>
      <c r="K73" s="41"/>
      <c r="L73" s="19"/>
      <c r="M73" s="19"/>
      <c r="N73" s="19"/>
      <c r="O73" s="19"/>
      <c r="P73" s="19"/>
      <c r="Q73" s="19"/>
      <c r="R73" s="19"/>
      <c r="S73" s="19"/>
      <c r="T73" s="19"/>
      <c r="U73" s="19"/>
    </row>
    <row r="74" spans="1:21" ht="141.75" customHeight="1" x14ac:dyDescent="0.45">
      <c r="A74" s="45" t="str">
        <f>Arbejdsark!$A$234</f>
        <v>Tilgængelighed</v>
      </c>
      <c r="B74" s="43" t="e">
        <f>Arbejdsark!#REF!</f>
        <v>#REF!</v>
      </c>
      <c r="C74" s="45" t="str">
        <f>IF('Sortering af spørgsmål'!$C$17=Projektforudsætninger!$C$22,Arbejdsark!#REF!,"")</f>
        <v/>
      </c>
      <c r="D74" s="46">
        <f>Arbejdsark!D74</f>
        <v>0</v>
      </c>
      <c r="E74" s="45">
        <f>Arbejdsark!I74</f>
        <v>0</v>
      </c>
      <c r="F74" s="45">
        <f>Arbejdsark!J74</f>
        <v>0</v>
      </c>
      <c r="G74" s="45" t="e">
        <f>Arbejdsark!#REF!</f>
        <v>#REF!</v>
      </c>
      <c r="H74" s="45" t="e">
        <f>Arbejdsark!#REF!</f>
        <v>#REF!</v>
      </c>
      <c r="I74" s="45" t="str">
        <f>IF('Sortering af spørgsmål'!$C$17=Projektforudsætninger!$C$22,Arbejdsark!#REF!,"")</f>
        <v/>
      </c>
      <c r="J74" s="41" t="s">
        <v>9</v>
      </c>
      <c r="K74" s="41"/>
      <c r="L74" s="19"/>
      <c r="M74" s="19"/>
      <c r="N74" s="19"/>
      <c r="O74" s="19"/>
      <c r="P74" s="19"/>
      <c r="Q74" s="19"/>
      <c r="R74" s="19"/>
      <c r="S74" s="19"/>
      <c r="T74" s="19"/>
      <c r="U74" s="19"/>
    </row>
    <row r="75" spans="1:21" x14ac:dyDescent="0.45">
      <c r="A75" s="45"/>
      <c r="B75" s="45"/>
      <c r="C75" s="45"/>
      <c r="D75" s="46"/>
      <c r="E75" s="45"/>
      <c r="F75" s="45"/>
      <c r="G75" s="45"/>
      <c r="H75" s="45"/>
      <c r="I75" s="45"/>
      <c r="J75" s="47"/>
      <c r="K75" s="47"/>
      <c r="L75" s="19"/>
      <c r="M75" s="19"/>
      <c r="N75" s="19"/>
      <c r="O75" s="19"/>
      <c r="P75" s="19"/>
      <c r="Q75" s="19"/>
      <c r="R75" s="19"/>
      <c r="S75" s="19"/>
      <c r="T75" s="19"/>
      <c r="U75" s="19"/>
    </row>
    <row r="76" spans="1:21" x14ac:dyDescent="0.45">
      <c r="A76" s="57" t="str">
        <f>Arbejdsark!$A$239</f>
        <v>Udearealer</v>
      </c>
      <c r="B76" s="57">
        <v>4</v>
      </c>
      <c r="C76" s="57"/>
      <c r="D76" s="57"/>
      <c r="E76" s="57"/>
      <c r="F76" s="57"/>
      <c r="G76" s="57"/>
      <c r="H76" s="57"/>
      <c r="I76" s="57" t="str">
        <f>IF('Sortering af spørgsmål'!$C$18=Projektforudsætninger!$C$22,"Udfyld spørgsmål","Ingen spørgsmål")</f>
        <v>Ingen spørgsmål</v>
      </c>
      <c r="J76" s="54"/>
      <c r="K76" s="54"/>
      <c r="L76" s="19"/>
      <c r="M76" s="19"/>
      <c r="N76" s="19"/>
      <c r="O76" s="19"/>
      <c r="P76" s="19"/>
      <c r="Q76" s="19"/>
      <c r="R76" s="19"/>
      <c r="S76" s="19"/>
      <c r="T76" s="19"/>
      <c r="U76" s="19"/>
    </row>
    <row r="77" spans="1:21" ht="141.75" customHeight="1" x14ac:dyDescent="0.45">
      <c r="A77" s="45" t="str">
        <f>Arbejdsark!$A$239</f>
        <v>Udearealer</v>
      </c>
      <c r="B77" s="43" t="str">
        <f>Arbejdsark!$B$239</f>
        <v>4.1</v>
      </c>
      <c r="C77" s="45" t="str">
        <f>IF('Sortering af spørgsmål'!$C$18=Projektforudsætninger!$C$22,Arbejdsark!C239,"")</f>
        <v/>
      </c>
      <c r="D77" s="46">
        <f>Arbejdsark!D77</f>
        <v>0</v>
      </c>
      <c r="E77" s="45">
        <f>Arbejdsark!I77</f>
        <v>0</v>
      </c>
      <c r="F77" s="45">
        <f>Arbejdsark!J77</f>
        <v>0</v>
      </c>
      <c r="G77" s="45" t="e">
        <f>Arbejdsark!#REF!</f>
        <v>#REF!</v>
      </c>
      <c r="H77" s="45" t="e">
        <f>Arbejdsark!#REF!</f>
        <v>#REF!</v>
      </c>
      <c r="I77" s="45" t="str">
        <f>IF('Sortering af spørgsmål'!$C$18=Projektforudsætninger!$C$22,Arbejdsark!K239,"")</f>
        <v/>
      </c>
      <c r="J77" s="41" t="s">
        <v>9</v>
      </c>
      <c r="K77" s="41"/>
      <c r="L77" s="19"/>
      <c r="M77" s="19"/>
      <c r="N77" s="19"/>
      <c r="O77" s="19"/>
      <c r="P77" s="19"/>
      <c r="Q77" s="19"/>
      <c r="R77" s="19"/>
      <c r="S77" s="19"/>
      <c r="T77" s="19"/>
      <c r="U77" s="19"/>
    </row>
    <row r="78" spans="1:21" ht="141.75" customHeight="1" x14ac:dyDescent="0.45">
      <c r="A78" s="45" t="str">
        <f>Arbejdsark!$A$239</f>
        <v>Udearealer</v>
      </c>
      <c r="B78" s="43" t="str">
        <f>Arbejdsark!$B$244</f>
        <v>4.2</v>
      </c>
      <c r="C78" s="45" t="str">
        <f>IF('Sortering af spørgsmål'!$C$18=Projektforudsætninger!$C$22,Arbejdsark!C244,"")</f>
        <v/>
      </c>
      <c r="D78" s="46" t="str">
        <f>Arbejdsark!D78</f>
        <v>ENV2.3
Vægtning: ENV2.3 pkt. 2.1 + 2.2+3</v>
      </c>
      <c r="E78" s="45" t="str">
        <f>Arbejdsark!I78</f>
        <v>x</v>
      </c>
      <c r="F78" s="45">
        <f>Arbejdsark!J78</f>
        <v>0</v>
      </c>
      <c r="G78" s="45" t="e">
        <f>Arbejdsark!#REF!</f>
        <v>#REF!</v>
      </c>
      <c r="H78" s="45" t="e">
        <f>Arbejdsark!#REF!</f>
        <v>#REF!</v>
      </c>
      <c r="I78" s="45" t="str">
        <f>IF('Sortering af spørgsmål'!$C$18=Projektforudsætninger!$C$22,Arbejdsark!K244,"")</f>
        <v/>
      </c>
      <c r="J78" s="41" t="s">
        <v>9</v>
      </c>
      <c r="K78" s="41"/>
      <c r="L78" s="19"/>
      <c r="M78" s="19"/>
      <c r="N78" s="19"/>
      <c r="O78" s="19"/>
      <c r="P78" s="19"/>
      <c r="Q78" s="19"/>
      <c r="R78" s="19"/>
      <c r="S78" s="19"/>
      <c r="T78" s="19"/>
      <c r="U78" s="19"/>
    </row>
    <row r="79" spans="1:21" x14ac:dyDescent="0.45">
      <c r="A79" s="45"/>
      <c r="B79" s="45"/>
      <c r="C79" s="45"/>
      <c r="D79" s="46"/>
      <c r="E79" s="45"/>
      <c r="F79" s="45"/>
      <c r="G79" s="45"/>
      <c r="H79" s="45"/>
      <c r="I79" s="45"/>
      <c r="J79" s="47"/>
      <c r="K79" s="47"/>
      <c r="L79" s="19"/>
      <c r="M79" s="19"/>
      <c r="N79" s="19"/>
      <c r="O79" s="19"/>
      <c r="P79" s="19"/>
      <c r="Q79" s="19"/>
      <c r="R79" s="19"/>
      <c r="S79" s="19"/>
      <c r="T79" s="19"/>
      <c r="U79" s="19"/>
    </row>
    <row r="80" spans="1:21" x14ac:dyDescent="0.45">
      <c r="A80" s="57" t="str">
        <f>Arbejdsark!$A$250</f>
        <v>Cyklister</v>
      </c>
      <c r="B80" s="57">
        <v>5</v>
      </c>
      <c r="C80" s="57"/>
      <c r="D80" s="57"/>
      <c r="E80" s="57"/>
      <c r="F80" s="57"/>
      <c r="G80" s="57"/>
      <c r="H80" s="57"/>
      <c r="I80" s="57" t="str">
        <f>IF('Sortering af spørgsmål'!$C$19=Projektforudsætninger!$C$22,"Udfyld spørgsmål","Ingen spørgsmål")</f>
        <v>Ingen spørgsmål</v>
      </c>
      <c r="J80" s="54"/>
      <c r="K80" s="54"/>
      <c r="L80" s="19"/>
      <c r="M80" s="19"/>
      <c r="N80" s="19"/>
      <c r="O80" s="19"/>
      <c r="P80" s="19"/>
      <c r="Q80" s="19"/>
      <c r="R80" s="19"/>
      <c r="S80" s="19"/>
      <c r="T80" s="19"/>
      <c r="U80" s="19"/>
    </row>
    <row r="81" spans="1:21" ht="28.5" customHeight="1" x14ac:dyDescent="0.45">
      <c r="A81" s="45" t="str">
        <f>Arbejdsark!$A$250</f>
        <v>Cyklister</v>
      </c>
      <c r="B81" s="43" t="str">
        <f>Arbejdsark!$B$250</f>
        <v>5.1</v>
      </c>
      <c r="C81" s="45" t="str">
        <f>IF('Sortering af spørgsmål'!$C$19=Projektforudsætninger!$C$22,Arbejdsark!C250,"")</f>
        <v/>
      </c>
      <c r="D81" s="46">
        <f>Arbejdsark!D81</f>
        <v>0</v>
      </c>
      <c r="E81" s="45">
        <f>Arbejdsark!I81</f>
        <v>0</v>
      </c>
      <c r="F81" s="45">
        <f>Arbejdsark!J81</f>
        <v>0</v>
      </c>
      <c r="G81" s="45" t="e">
        <f>Arbejdsark!#REF!</f>
        <v>#REF!</v>
      </c>
      <c r="H81" s="45" t="e">
        <f>Arbejdsark!#REF!</f>
        <v>#REF!</v>
      </c>
      <c r="I81" s="45" t="str">
        <f>IF('Sortering af spørgsmål'!$C$19=Projektforudsætninger!$C$22,Arbejdsark!K250,"")</f>
        <v/>
      </c>
      <c r="J81" s="41" t="s">
        <v>9</v>
      </c>
      <c r="K81" s="41"/>
      <c r="L81" s="19"/>
      <c r="M81" s="19"/>
      <c r="N81" s="19"/>
      <c r="O81" s="19"/>
      <c r="P81" s="19"/>
      <c r="Q81" s="19"/>
      <c r="R81" s="19"/>
      <c r="S81" s="19"/>
      <c r="T81" s="19"/>
      <c r="U81" s="19"/>
    </row>
    <row r="82" spans="1:21" s="33" customFormat="1" ht="113.65" customHeight="1" x14ac:dyDescent="0.45">
      <c r="A82" s="45" t="str">
        <f>Arbejdsark!$A$250</f>
        <v>Cyklister</v>
      </c>
      <c r="B82" s="43" t="str">
        <f>Arbejdsark!$B$255</f>
        <v>5.2</v>
      </c>
      <c r="C82" s="45" t="str">
        <f>IF('Sortering af spørgsmål'!$C$19=Projektforudsætninger!$C$22,Arbejdsark!C255,"")</f>
        <v/>
      </c>
      <c r="D82" s="46">
        <f>Arbejdsark!D82</f>
        <v>0</v>
      </c>
      <c r="E82" s="45">
        <f>Arbejdsark!I82</f>
        <v>0</v>
      </c>
      <c r="F82" s="45">
        <f>Arbejdsark!J82</f>
        <v>0</v>
      </c>
      <c r="G82" s="45" t="e">
        <f>Arbejdsark!#REF!</f>
        <v>#REF!</v>
      </c>
      <c r="H82" s="45" t="e">
        <f>Arbejdsark!#REF!</f>
        <v>#REF!</v>
      </c>
      <c r="I82" s="45" t="str">
        <f>IF('Sortering af spørgsmål'!$C$19=Projektforudsætninger!$C$22,Arbejdsark!K255,"")</f>
        <v/>
      </c>
      <c r="J82" s="41" t="s">
        <v>9</v>
      </c>
      <c r="K82" s="41"/>
      <c r="L82" s="27">
        <f t="shared" ref="L82:U82" si="1">L4</f>
        <v>0</v>
      </c>
      <c r="M82" s="27">
        <f t="shared" si="1"/>
        <v>0</v>
      </c>
      <c r="N82" s="27">
        <f t="shared" si="1"/>
        <v>0</v>
      </c>
      <c r="O82" s="27">
        <f t="shared" si="1"/>
        <v>0</v>
      </c>
      <c r="P82" s="27">
        <f t="shared" si="1"/>
        <v>0</v>
      </c>
      <c r="Q82" s="27">
        <f t="shared" si="1"/>
        <v>0</v>
      </c>
      <c r="R82" s="27">
        <f t="shared" si="1"/>
        <v>0</v>
      </c>
      <c r="S82" s="27">
        <f t="shared" si="1"/>
        <v>0</v>
      </c>
      <c r="T82" s="27">
        <f t="shared" si="1"/>
        <v>0</v>
      </c>
      <c r="U82" s="27">
        <f t="shared" si="1"/>
        <v>0</v>
      </c>
    </row>
    <row r="83" spans="1:21" x14ac:dyDescent="0.45">
      <c r="A83" s="45" t="str">
        <f>Arbejdsark!$A$250</f>
        <v>Cyklister</v>
      </c>
      <c r="B83" s="43" t="str">
        <f>Arbejdsark!$B$260</f>
        <v>5.3</v>
      </c>
      <c r="C83" s="45" t="str">
        <f>IF('Sortering af spørgsmål'!$C$19=Projektforudsætninger!$C$22,Arbejdsark!C260,"")</f>
        <v/>
      </c>
      <c r="D83" s="46" t="e">
        <f>Arbejdsark!#REF!</f>
        <v>#REF!</v>
      </c>
      <c r="E83" s="45" t="e">
        <f>Arbejdsark!#REF!</f>
        <v>#REF!</v>
      </c>
      <c r="F83" s="45" t="e">
        <f>Arbejdsark!#REF!</f>
        <v>#REF!</v>
      </c>
      <c r="G83" s="45" t="e">
        <f>Arbejdsark!#REF!</f>
        <v>#REF!</v>
      </c>
      <c r="H83" s="45" t="e">
        <f>Arbejdsark!#REF!</f>
        <v>#REF!</v>
      </c>
      <c r="I83" s="45" t="str">
        <f>IF('Sortering af spørgsmål'!$C$19=Projektforudsætninger!$C$22,Arbejdsark!K260,"")</f>
        <v/>
      </c>
      <c r="J83" s="41" t="s">
        <v>9</v>
      </c>
      <c r="K83" s="41"/>
      <c r="L83" s="19"/>
      <c r="M83" s="19"/>
      <c r="N83" s="19"/>
      <c r="O83" s="19"/>
      <c r="P83" s="19"/>
      <c r="Q83" s="19"/>
      <c r="R83" s="19"/>
      <c r="S83" s="19"/>
      <c r="T83" s="19"/>
      <c r="U83" s="19"/>
    </row>
    <row r="84" spans="1:21" x14ac:dyDescent="0.45">
      <c r="A84" s="45"/>
      <c r="B84" s="45"/>
      <c r="C84" s="45"/>
      <c r="D84" s="46"/>
      <c r="E84" s="45"/>
      <c r="F84" s="45"/>
      <c r="G84" s="45"/>
      <c r="H84" s="45"/>
      <c r="I84" s="45"/>
      <c r="J84" s="47"/>
      <c r="K84" s="47"/>
      <c r="L84" s="19"/>
      <c r="M84" s="19"/>
      <c r="N84" s="19"/>
      <c r="O84" s="19"/>
      <c r="P84" s="19"/>
      <c r="Q84" s="19"/>
      <c r="R84" s="19"/>
      <c r="S84" s="19"/>
      <c r="T84" s="19"/>
      <c r="U84" s="19"/>
    </row>
    <row r="85" spans="1:21" x14ac:dyDescent="0.45">
      <c r="A85" s="57" t="str">
        <f>Arbejdsark!$A$265</f>
        <v>Tryghed og sikkerhed</v>
      </c>
      <c r="B85" s="57">
        <v>6</v>
      </c>
      <c r="C85" s="57"/>
      <c r="D85" s="57"/>
      <c r="E85" s="57"/>
      <c r="F85" s="57"/>
      <c r="G85" s="57"/>
      <c r="H85" s="57"/>
      <c r="I85" s="57" t="str">
        <f>IF('Sortering af spørgsmål'!$C$20=Projektforudsætninger!$C$22,"Udfyld spørgsmål","Ingen spørgsmål")</f>
        <v>Ingen spørgsmål</v>
      </c>
      <c r="J85" s="54"/>
      <c r="K85" s="54"/>
      <c r="L85" s="19"/>
      <c r="M85" s="19"/>
      <c r="N85" s="19"/>
      <c r="O85" s="19"/>
      <c r="P85" s="19"/>
      <c r="Q85" s="19"/>
      <c r="R85" s="19"/>
      <c r="S85" s="19"/>
      <c r="T85" s="19"/>
      <c r="U85" s="19"/>
    </row>
    <row r="86" spans="1:21" ht="141.75" customHeight="1" x14ac:dyDescent="0.45">
      <c r="A86" s="45" t="str">
        <f>Arbejdsark!$A$265</f>
        <v>Tryghed og sikkerhed</v>
      </c>
      <c r="B86" s="43" t="str">
        <f>Arbejdsark!$B$265</f>
        <v>6.1</v>
      </c>
      <c r="C86" s="45" t="str">
        <f>IF('Sortering af spørgsmål'!$C$20=Projektforudsætninger!$C$22,Arbejdsark!C265,"")</f>
        <v/>
      </c>
      <c r="D86" s="46">
        <f>Arbejdsark!D83</f>
        <v>0</v>
      </c>
      <c r="E86" s="45">
        <f>Arbejdsark!I83</f>
        <v>0</v>
      </c>
      <c r="F86" s="45">
        <f>Arbejdsark!J83</f>
        <v>0</v>
      </c>
      <c r="G86" s="45" t="e">
        <f>Arbejdsark!#REF!</f>
        <v>#REF!</v>
      </c>
      <c r="H86" s="45" t="e">
        <f>Arbejdsark!#REF!</f>
        <v>#REF!</v>
      </c>
      <c r="I86" s="45" t="str">
        <f>IF('Sortering af spørgsmål'!$C$20=Projektforudsætninger!$C$22,Arbejdsark!K265,"")</f>
        <v/>
      </c>
      <c r="J86" s="41" t="s">
        <v>9</v>
      </c>
      <c r="K86" s="41"/>
      <c r="L86" s="19"/>
      <c r="M86" s="19"/>
      <c r="N86" s="19"/>
      <c r="O86" s="19"/>
      <c r="P86" s="19"/>
      <c r="Q86" s="19"/>
      <c r="R86" s="19"/>
      <c r="S86" s="19"/>
      <c r="T86" s="19"/>
      <c r="U86" s="19"/>
    </row>
    <row r="87" spans="1:21" ht="141.75" customHeight="1" x14ac:dyDescent="0.45">
      <c r="A87" s="45" t="str">
        <f>Arbejdsark!$A$265</f>
        <v>Tryghed og sikkerhed</v>
      </c>
      <c r="B87" s="43" t="str">
        <f>Arbejdsark!$B$270</f>
        <v>6.2</v>
      </c>
      <c r="C87" s="45" t="str">
        <f>IF('Sortering af spørgsmål'!$C$20=Projektforudsætninger!$C$22,Arbejdsark!C270,"")</f>
        <v/>
      </c>
      <c r="D87" s="46">
        <f>Arbejdsark!D85</f>
        <v>0</v>
      </c>
      <c r="E87" s="45">
        <f>Arbejdsark!I85</f>
        <v>0</v>
      </c>
      <c r="F87" s="45">
        <f>Arbejdsark!J85</f>
        <v>0</v>
      </c>
      <c r="G87" s="45" t="e">
        <f>Arbejdsark!#REF!</f>
        <v>#REF!</v>
      </c>
      <c r="H87" s="45" t="e">
        <f>Arbejdsark!#REF!</f>
        <v>#REF!</v>
      </c>
      <c r="I87" s="45" t="str">
        <f>IF('Sortering af spørgsmål'!$C$20=Projektforudsætninger!$C$22,Arbejdsark!K270,"")</f>
        <v/>
      </c>
      <c r="J87" s="41" t="s">
        <v>9</v>
      </c>
      <c r="K87" s="41"/>
      <c r="L87" s="19"/>
      <c r="M87" s="19"/>
      <c r="N87" s="19"/>
      <c r="O87" s="19"/>
      <c r="P87" s="19"/>
      <c r="Q87" s="19"/>
      <c r="R87" s="19"/>
      <c r="S87" s="19"/>
      <c r="T87" s="19"/>
      <c r="U87" s="19"/>
    </row>
    <row r="88" spans="1:21" x14ac:dyDescent="0.45">
      <c r="A88" s="45"/>
      <c r="B88" s="45"/>
      <c r="C88" s="45"/>
      <c r="D88" s="46"/>
      <c r="E88" s="45"/>
      <c r="F88" s="45"/>
      <c r="G88" s="45"/>
      <c r="H88" s="45"/>
      <c r="I88" s="45"/>
      <c r="J88" s="47"/>
      <c r="K88" s="47"/>
      <c r="L88" s="19"/>
      <c r="M88" s="19"/>
      <c r="N88" s="19"/>
      <c r="O88" s="19"/>
      <c r="P88" s="19"/>
      <c r="Q88" s="19"/>
      <c r="R88" s="19"/>
      <c r="S88" s="19"/>
      <c r="T88" s="19"/>
      <c r="U88" s="19"/>
    </row>
    <row r="89" spans="1:21" x14ac:dyDescent="0.45">
      <c r="A89" s="57" t="str">
        <f>Arbejdsark!$A$279</f>
        <v>Arkitektonisk kvalitet</v>
      </c>
      <c r="B89" s="57">
        <v>7</v>
      </c>
      <c r="C89" s="57"/>
      <c r="D89" s="57"/>
      <c r="E89" s="57"/>
      <c r="F89" s="57"/>
      <c r="G89" s="57"/>
      <c r="H89" s="57"/>
      <c r="I89" s="57" t="str">
        <f>IF('Sortering af spørgsmål'!$C$21=Projektforudsætninger!$C$22,"Udfyld spørgsmål","Ingen spørgsmål")</f>
        <v>Ingen spørgsmål</v>
      </c>
      <c r="J89" s="54"/>
      <c r="K89" s="54"/>
      <c r="L89" s="19"/>
      <c r="M89" s="19"/>
      <c r="N89" s="19"/>
      <c r="O89" s="19"/>
      <c r="P89" s="19"/>
      <c r="Q89" s="19"/>
      <c r="R89" s="19"/>
      <c r="S89" s="19"/>
      <c r="T89" s="19"/>
      <c r="U89" s="19"/>
    </row>
    <row r="90" spans="1:21" ht="113.65" customHeight="1" x14ac:dyDescent="0.45">
      <c r="A90" s="45" t="str">
        <f>IF(Projektforudsætninger!C40="Totalentreprisekonkurrence eller OPP leverance",Arbejdsark!$A$279,"")</f>
        <v/>
      </c>
      <c r="B90" s="43" t="str">
        <f>Arbejdsark!$B$289</f>
        <v>7.1</v>
      </c>
      <c r="C90" s="45" t="str">
        <f>IF('Sortering af spørgsmål'!$C$21=Projektforudsætninger!$C$22,IF(Projektforudsætninger!C40="Totalentreprisekonkurrence eller OPP leverance",Arbejdsark!C289,""),"")</f>
        <v/>
      </c>
      <c r="D90" s="46"/>
      <c r="E90" s="45"/>
      <c r="F90" s="45"/>
      <c r="G90" s="45"/>
      <c r="H90" s="45"/>
      <c r="I90" s="45" t="str">
        <f>IF('Sortering af spørgsmål'!$C$21=Projektforudsætninger!$C$22,IF(Projektforudsætninger!C40="Totalentreprisekonkurrence eller OPP leverance",Arbejdsark!K289,""),"")</f>
        <v/>
      </c>
      <c r="J90" s="41" t="s">
        <v>9</v>
      </c>
      <c r="K90" s="41"/>
      <c r="L90" s="19"/>
      <c r="M90" s="19"/>
      <c r="N90" s="19"/>
      <c r="O90" s="19"/>
      <c r="P90" s="19"/>
      <c r="Q90" s="19"/>
      <c r="R90" s="19"/>
      <c r="S90" s="19"/>
      <c r="T90" s="19"/>
      <c r="U90" s="19"/>
    </row>
    <row r="91" spans="1:21" ht="113.65" customHeight="1" x14ac:dyDescent="0.45">
      <c r="A91" s="45"/>
      <c r="B91" s="43" t="str">
        <f>Arbejdsark!$B$294</f>
        <v>7.2</v>
      </c>
      <c r="C91" s="45" t="str">
        <f>IF('Sortering af spørgsmål'!$C$21=Projektforudsætninger!$C$22,IF(Projektforudsætninger!C40="Totalentreprisekonkurrence eller OPP leverance",Arbejdsark!C294,""),"")</f>
        <v/>
      </c>
      <c r="D91" s="46"/>
      <c r="E91" s="45"/>
      <c r="F91" s="45"/>
      <c r="G91" s="45"/>
      <c r="H91" s="45"/>
      <c r="I91" s="45" t="str">
        <f>IF('Sortering af spørgsmål'!$C$21=Projektforudsætninger!$C$22,IF(Projektforudsætninger!C40="Totalentreprisekonkurrence eller OPP leverance",Arbejdsark!K294,""),"")</f>
        <v/>
      </c>
      <c r="J91" s="41" t="s">
        <v>9</v>
      </c>
      <c r="K91" s="41"/>
      <c r="L91" s="19"/>
      <c r="M91" s="19"/>
      <c r="N91" s="19"/>
      <c r="O91" s="19"/>
      <c r="P91" s="19"/>
      <c r="Q91" s="19"/>
      <c r="R91" s="19"/>
      <c r="S91" s="19"/>
      <c r="T91" s="19"/>
      <c r="U91" s="19"/>
    </row>
    <row r="92" spans="1:21" x14ac:dyDescent="0.45">
      <c r="A92" s="45"/>
      <c r="B92" s="45"/>
      <c r="C92" s="45"/>
      <c r="D92" s="46"/>
      <c r="E92" s="45"/>
      <c r="F92" s="45"/>
      <c r="G92" s="45"/>
      <c r="H92" s="45"/>
      <c r="I92" s="45"/>
      <c r="J92" s="47"/>
      <c r="K92" s="47"/>
      <c r="L92" s="19"/>
      <c r="M92" s="19"/>
      <c r="N92" s="19"/>
      <c r="O92" s="19"/>
      <c r="P92" s="19"/>
      <c r="Q92" s="19"/>
      <c r="R92" s="19"/>
      <c r="S92" s="19"/>
      <c r="T92" s="19"/>
      <c r="U92" s="19"/>
    </row>
    <row r="93" spans="1:21" x14ac:dyDescent="0.45">
      <c r="A93" s="57" t="str">
        <f>Arbejdsark!$A$300</f>
        <v>Plandisponering</v>
      </c>
      <c r="B93" s="57">
        <v>8</v>
      </c>
      <c r="C93" s="57"/>
      <c r="D93" s="57"/>
      <c r="E93" s="57"/>
      <c r="F93" s="57"/>
      <c r="G93" s="57"/>
      <c r="H93" s="57"/>
      <c r="I93" s="57" t="str">
        <f>IF('Sortering af spørgsmål'!$C$22=Projektforudsætninger!$C$22,"Udfyld spørgsmål","Ingen spørgsmål")</f>
        <v>Ingen spørgsmål</v>
      </c>
      <c r="J93" s="54"/>
      <c r="K93" s="54"/>
      <c r="L93" s="19"/>
      <c r="M93" s="19"/>
      <c r="N93" s="19"/>
      <c r="O93" s="19"/>
      <c r="P93" s="19"/>
      <c r="Q93" s="19"/>
      <c r="R93" s="19"/>
      <c r="S93" s="19"/>
      <c r="T93" s="19"/>
      <c r="U93" s="19"/>
    </row>
    <row r="94" spans="1:21" ht="28.5" customHeight="1" x14ac:dyDescent="0.45">
      <c r="A94" s="45" t="str">
        <f>Arbejdsark!$A$300</f>
        <v>Plandisponering</v>
      </c>
      <c r="B94" s="43" t="str">
        <f>Arbejdsark!$B$300</f>
        <v>8.1</v>
      </c>
      <c r="C94" s="45" t="str">
        <f>IF('Sortering af spørgsmål'!$C$22=Projektforudsætninger!$C$22,Arbejdsark!C300,"")</f>
        <v/>
      </c>
      <c r="D94" s="46" t="str">
        <f>Arbejdsark!D91</f>
        <v>ECO2.2
Vægtning: ECO2.2 pkt. 1.1 + 1.2 +1.3</v>
      </c>
      <c r="E94" s="45" t="str">
        <f>Arbejdsark!I91</f>
        <v>x</v>
      </c>
      <c r="F94" s="45">
        <f>Arbejdsark!J91</f>
        <v>0</v>
      </c>
      <c r="G94" s="45" t="e">
        <f>Arbejdsark!#REF!</f>
        <v>#REF!</v>
      </c>
      <c r="H94" s="45" t="e">
        <f>Arbejdsark!#REF!</f>
        <v>#REF!</v>
      </c>
      <c r="I94" s="45" t="str">
        <f>IF('Sortering af spørgsmål'!$C$22=Projektforudsætninger!$C$22,Arbejdsark!K300,"")</f>
        <v/>
      </c>
      <c r="J94" s="41" t="s">
        <v>9</v>
      </c>
      <c r="K94" s="41"/>
      <c r="L94" s="19"/>
      <c r="M94" s="19"/>
      <c r="N94" s="19"/>
      <c r="O94" s="19"/>
      <c r="P94" s="19"/>
      <c r="Q94" s="19"/>
      <c r="R94" s="19"/>
      <c r="S94" s="19"/>
      <c r="T94" s="19"/>
      <c r="U94" s="19"/>
    </row>
    <row r="95" spans="1:21" s="33" customFormat="1" ht="74.25" customHeight="1" x14ac:dyDescent="0.45">
      <c r="A95" s="45" t="str">
        <f>Arbejdsark!$A$300</f>
        <v>Plandisponering</v>
      </c>
      <c r="B95" s="43" t="str">
        <f>Arbejdsark!$B$306</f>
        <v>8.2</v>
      </c>
      <c r="C95" s="45" t="str">
        <f>IF('Sortering af spørgsmål'!$C$22=Projektforudsætninger!$C$22,Arbejdsark!C306,"")</f>
        <v/>
      </c>
      <c r="D95" s="46">
        <f>Arbejdsark!D92</f>
        <v>0</v>
      </c>
      <c r="E95" s="45">
        <f>Arbejdsark!I92</f>
        <v>0</v>
      </c>
      <c r="F95" s="45">
        <f>Arbejdsark!J92</f>
        <v>0</v>
      </c>
      <c r="G95" s="45" t="e">
        <f>Arbejdsark!#REF!</f>
        <v>#REF!</v>
      </c>
      <c r="H95" s="45" t="e">
        <f>Arbejdsark!#REF!</f>
        <v>#REF!</v>
      </c>
      <c r="I95" s="45" t="str">
        <f>IF('Sortering af spørgsmål'!$C$22=Projektforudsætninger!$C$22,Arbejdsark!K306,"")</f>
        <v/>
      </c>
      <c r="J95" s="41" t="s">
        <v>9</v>
      </c>
      <c r="K95" s="41"/>
      <c r="L95" s="32"/>
      <c r="M95" s="32"/>
      <c r="N95" s="32"/>
      <c r="O95" s="32"/>
      <c r="P95" s="32"/>
      <c r="Q95" s="32"/>
      <c r="R95" s="32"/>
      <c r="S95" s="32"/>
      <c r="T95" s="32"/>
      <c r="U95" s="32"/>
    </row>
    <row r="96" spans="1:21" s="33" customFormat="1" ht="75.75" customHeight="1" x14ac:dyDescent="0.45">
      <c r="A96" s="45" t="str">
        <f>Arbejdsark!$A$300</f>
        <v>Plandisponering</v>
      </c>
      <c r="B96" s="43" t="str">
        <f>Arbejdsark!$B$311</f>
        <v>8.3</v>
      </c>
      <c r="C96" s="45" t="str">
        <f>IF('Sortering af spørgsmål'!$C$22=Projektforudsætninger!$C$22,Arbejdsark!C311,"")</f>
        <v/>
      </c>
      <c r="D96" s="46">
        <f>Arbejdsark!D93</f>
        <v>0</v>
      </c>
      <c r="E96" s="45">
        <f>Arbejdsark!I93</f>
        <v>0</v>
      </c>
      <c r="F96" s="45">
        <f>Arbejdsark!J93</f>
        <v>0</v>
      </c>
      <c r="G96" s="45" t="e">
        <f>Arbejdsark!#REF!</f>
        <v>#REF!</v>
      </c>
      <c r="H96" s="45" t="e">
        <f>Arbejdsark!#REF!</f>
        <v>#REF!</v>
      </c>
      <c r="I96" s="45" t="str">
        <f>IF('Sortering af spørgsmål'!$C$22=Projektforudsætninger!$C$22,Arbejdsark!K311,"")</f>
        <v/>
      </c>
      <c r="J96" s="41" t="s">
        <v>9</v>
      </c>
      <c r="K96" s="41"/>
      <c r="L96" s="32"/>
      <c r="M96" s="32"/>
      <c r="N96" s="32"/>
      <c r="O96" s="32"/>
      <c r="P96" s="32"/>
      <c r="Q96" s="32"/>
      <c r="R96" s="32"/>
      <c r="S96" s="32"/>
      <c r="T96" s="32"/>
      <c r="U96" s="32"/>
    </row>
    <row r="97" spans="1:21" x14ac:dyDescent="0.45">
      <c r="A97" s="45" t="str">
        <f>Arbejdsark!$A$300</f>
        <v>Plandisponering</v>
      </c>
      <c r="B97" s="43" t="str">
        <f>Arbejdsark!$B$316</f>
        <v>8.4</v>
      </c>
      <c r="C97" s="45" t="str">
        <f>IF('Sortering af spørgsmål'!$C$22=Projektforudsætninger!$C$22,Arbejdsark!C316,"")</f>
        <v/>
      </c>
      <c r="D97" s="46">
        <f>Arbejdsark!D94</f>
        <v>0</v>
      </c>
      <c r="E97" s="45">
        <f>Arbejdsark!I94</f>
        <v>0</v>
      </c>
      <c r="F97" s="45">
        <f>Arbejdsark!J94</f>
        <v>0</v>
      </c>
      <c r="G97" s="45" t="e">
        <f>Arbejdsark!#REF!</f>
        <v>#REF!</v>
      </c>
      <c r="H97" s="45" t="e">
        <f>Arbejdsark!#REF!</f>
        <v>#REF!</v>
      </c>
      <c r="I97" s="45" t="str">
        <f>IF('Sortering af spørgsmål'!$C$22=Projektforudsætninger!$C$22,Arbejdsark!K316,"")</f>
        <v/>
      </c>
      <c r="J97" s="41" t="s">
        <v>9</v>
      </c>
      <c r="K97" s="41"/>
      <c r="L97" s="19"/>
      <c r="M97" s="19"/>
      <c r="N97" s="19"/>
      <c r="O97" s="19"/>
      <c r="P97" s="19"/>
      <c r="Q97" s="19"/>
      <c r="R97" s="19"/>
      <c r="S97" s="19"/>
      <c r="T97" s="19"/>
      <c r="U97" s="19"/>
    </row>
    <row r="98" spans="1:21" ht="28.5" customHeight="1" x14ac:dyDescent="0.45">
      <c r="A98" s="45" t="str">
        <f>Arbejdsark!$A$300</f>
        <v>Plandisponering</v>
      </c>
      <c r="B98" s="43" t="str">
        <f>Arbejdsark!$B$321</f>
        <v>8.5</v>
      </c>
      <c r="C98" s="45" t="str">
        <f>IF('Sortering af spørgsmål'!$C$22=Projektforudsætninger!$C$22,Arbejdsark!C321,"")</f>
        <v/>
      </c>
      <c r="D98" s="46">
        <f>Arbejdsark!D95</f>
        <v>0</v>
      </c>
      <c r="E98" s="45">
        <f>Arbejdsark!I95</f>
        <v>0</v>
      </c>
      <c r="F98" s="45">
        <f>Arbejdsark!J95</f>
        <v>0</v>
      </c>
      <c r="G98" s="45" t="e">
        <f>Arbejdsark!#REF!</f>
        <v>#REF!</v>
      </c>
      <c r="H98" s="45" t="e">
        <f>Arbejdsark!#REF!</f>
        <v>#REF!</v>
      </c>
      <c r="I98" s="45" t="str">
        <f>IF('Sortering af spørgsmål'!$C$22=Projektforudsætninger!$C$22,Arbejdsark!K321,"")</f>
        <v/>
      </c>
      <c r="J98" s="41" t="s">
        <v>9</v>
      </c>
      <c r="K98" s="41"/>
      <c r="L98" s="19"/>
      <c r="M98" s="19"/>
      <c r="N98" s="19"/>
      <c r="O98" s="19"/>
      <c r="P98" s="19"/>
      <c r="Q98" s="19"/>
      <c r="R98" s="19"/>
      <c r="S98" s="19"/>
      <c r="T98" s="19"/>
      <c r="U98" s="19"/>
    </row>
    <row r="99" spans="1:21" ht="97.5" customHeight="1" x14ac:dyDescent="0.45">
      <c r="A99" s="45" t="str">
        <f>Arbejdsark!$A$300</f>
        <v>Plandisponering</v>
      </c>
      <c r="B99" s="43" t="str">
        <f>Arbejdsark!$B$326</f>
        <v>8.6</v>
      </c>
      <c r="C99" s="45" t="str">
        <f>IF('Sortering af spørgsmål'!$C$22=Projektforudsætninger!$C$22,Arbejdsark!C326,"")</f>
        <v/>
      </c>
      <c r="D99" s="46" t="e">
        <f>Arbejdsark!#REF!</f>
        <v>#REF!</v>
      </c>
      <c r="E99" s="45" t="e">
        <f>Arbejdsark!#REF!</f>
        <v>#REF!</v>
      </c>
      <c r="F99" s="45" t="e">
        <f>Arbejdsark!#REF!</f>
        <v>#REF!</v>
      </c>
      <c r="G99" s="45" t="e">
        <f>Arbejdsark!#REF!</f>
        <v>#REF!</v>
      </c>
      <c r="H99" s="45" t="e">
        <f>Arbejdsark!#REF!</f>
        <v>#REF!</v>
      </c>
      <c r="I99" s="45" t="str">
        <f>IF('Sortering af spørgsmål'!$C$22=Projektforudsætninger!$C$22,Arbejdsark!K326,"")</f>
        <v/>
      </c>
      <c r="J99" s="41" t="s">
        <v>9</v>
      </c>
      <c r="K99" s="41"/>
      <c r="L99" s="19"/>
      <c r="M99" s="19"/>
      <c r="N99" s="19"/>
      <c r="O99" s="19"/>
      <c r="P99" s="19"/>
      <c r="Q99" s="19"/>
      <c r="R99" s="19"/>
      <c r="S99" s="19"/>
      <c r="T99" s="19"/>
      <c r="U99" s="19"/>
    </row>
    <row r="100" spans="1:21" ht="113.65" customHeight="1" x14ac:dyDescent="0.45">
      <c r="A100" s="45" t="str">
        <f>Arbejdsark!$A$300</f>
        <v>Plandisponering</v>
      </c>
      <c r="B100" s="43" t="str">
        <f>Arbejdsark!$B$331</f>
        <v>8.7</v>
      </c>
      <c r="C100" s="45" t="str">
        <f>IF('Sortering af spørgsmål'!$C$22=Projektforudsætninger!$C$22,Arbejdsark!C331,"")</f>
        <v/>
      </c>
      <c r="D100" s="46" t="str">
        <f>Arbejdsark!D109</f>
        <v>ECO1.1
Vægtning: 13% af ECO1.1</v>
      </c>
      <c r="E100" s="45" t="str">
        <f>Arbejdsark!I109</f>
        <v>x</v>
      </c>
      <c r="F100" s="45">
        <f>Arbejdsark!J109</f>
        <v>0</v>
      </c>
      <c r="G100" s="45" t="e">
        <f>Arbejdsark!#REF!</f>
        <v>#REF!</v>
      </c>
      <c r="H100" s="45" t="e">
        <f>Arbejdsark!#REF!</f>
        <v>#REF!</v>
      </c>
      <c r="I100" s="45" t="str">
        <f>IF('Sortering af spørgsmål'!$C$22=Projektforudsætninger!$C$22,Arbejdsark!K331,"")</f>
        <v/>
      </c>
      <c r="J100" s="41" t="s">
        <v>9</v>
      </c>
      <c r="K100" s="41"/>
      <c r="L100" s="19"/>
      <c r="M100" s="19"/>
      <c r="N100" s="19"/>
      <c r="O100" s="19"/>
      <c r="P100" s="19"/>
      <c r="Q100" s="19"/>
      <c r="R100" s="19"/>
      <c r="S100" s="19"/>
      <c r="T100" s="19"/>
      <c r="U100" s="19"/>
    </row>
    <row r="101" spans="1:21" ht="141.75" customHeight="1" x14ac:dyDescent="0.45">
      <c r="A101" s="45" t="str">
        <f>Arbejdsark!$A$300</f>
        <v>Plandisponering</v>
      </c>
      <c r="B101" s="43" t="str">
        <f>Arbejdsark!$B$336</f>
        <v>8.8</v>
      </c>
      <c r="C101" s="45" t="str">
        <f>IF('Sortering af spørgsmål'!$C$22=Projektforudsætninger!$C$22,Arbejdsark!C336,"")</f>
        <v/>
      </c>
      <c r="D101" s="46">
        <f>Arbejdsark!D110</f>
        <v>0</v>
      </c>
      <c r="E101" s="45">
        <f>Arbejdsark!I110</f>
        <v>0</v>
      </c>
      <c r="F101" s="45">
        <f>Arbejdsark!J110</f>
        <v>0</v>
      </c>
      <c r="G101" s="45" t="e">
        <f>Arbejdsark!#REF!</f>
        <v>#REF!</v>
      </c>
      <c r="H101" s="45" t="e">
        <f>Arbejdsark!#REF!</f>
        <v>#REF!</v>
      </c>
      <c r="I101" s="45" t="str">
        <f>IF('Sortering af spørgsmål'!$C$22=Projektforudsætninger!$C$22,Arbejdsark!K336,"")</f>
        <v/>
      </c>
      <c r="J101" s="41" t="s">
        <v>9</v>
      </c>
      <c r="K101" s="41"/>
      <c r="L101" s="19"/>
      <c r="M101" s="19"/>
      <c r="N101" s="19"/>
      <c r="O101" s="19"/>
      <c r="P101" s="19"/>
      <c r="Q101" s="19"/>
      <c r="R101" s="19"/>
      <c r="S101" s="19"/>
      <c r="T101" s="19"/>
      <c r="U101" s="19"/>
    </row>
    <row r="102" spans="1:21" ht="113.65" customHeight="1" x14ac:dyDescent="0.45">
      <c r="A102" s="45" t="str">
        <f>Arbejdsark!$A$300</f>
        <v>Plandisponering</v>
      </c>
      <c r="B102" s="43" t="str">
        <f>Arbejdsark!$B$341</f>
        <v>8.9</v>
      </c>
      <c r="C102" s="45" t="str">
        <f>IF('Sortering af spørgsmål'!$C$22=Projektforudsætninger!$C$22,Arbejdsark!C341,"")</f>
        <v/>
      </c>
      <c r="D102" s="46">
        <f>Arbejdsark!D111</f>
        <v>0</v>
      </c>
      <c r="E102" s="45">
        <f>Arbejdsark!I111</f>
        <v>0</v>
      </c>
      <c r="F102" s="45">
        <f>Arbejdsark!J111</f>
        <v>0</v>
      </c>
      <c r="G102" s="45" t="e">
        <f>Arbejdsark!#REF!</f>
        <v>#REF!</v>
      </c>
      <c r="H102" s="45" t="e">
        <f>Arbejdsark!#REF!</f>
        <v>#REF!</v>
      </c>
      <c r="I102" s="45" t="str">
        <f>IF('Sortering af spørgsmål'!$C$22=Projektforudsætninger!$C$22,Arbejdsark!K341,"")</f>
        <v/>
      </c>
      <c r="J102" s="41" t="s">
        <v>9</v>
      </c>
      <c r="K102" s="41"/>
      <c r="L102" s="19"/>
      <c r="M102" s="19"/>
      <c r="N102" s="19"/>
      <c r="O102" s="19"/>
      <c r="P102" s="19"/>
      <c r="Q102" s="19"/>
      <c r="R102" s="19"/>
      <c r="S102" s="19"/>
      <c r="T102" s="19"/>
      <c r="U102" s="19"/>
    </row>
    <row r="103" spans="1:21" ht="127.5" customHeight="1" x14ac:dyDescent="0.45">
      <c r="A103" s="45" t="str">
        <f>Arbejdsark!$A$300</f>
        <v>Plandisponering</v>
      </c>
      <c r="B103" s="43" t="str">
        <f>Arbejdsark!$B$346</f>
        <v>8.10</v>
      </c>
      <c r="C103" s="45" t="str">
        <f>IF('Sortering af spørgsmål'!$C$22=Projektforudsætninger!$C$22,Arbejdsark!C346,"")</f>
        <v/>
      </c>
      <c r="D103" s="46">
        <f>Arbejdsark!D112</f>
        <v>0</v>
      </c>
      <c r="E103" s="45">
        <f>Arbejdsark!I112</f>
        <v>0</v>
      </c>
      <c r="F103" s="45">
        <f>Arbejdsark!J112</f>
        <v>0</v>
      </c>
      <c r="G103" s="45" t="e">
        <f>Arbejdsark!#REF!</f>
        <v>#REF!</v>
      </c>
      <c r="H103" s="45" t="e">
        <f>Arbejdsark!#REF!</f>
        <v>#REF!</v>
      </c>
      <c r="I103" s="45" t="str">
        <f>IF('Sortering af spørgsmål'!$C$22=Projektforudsætninger!$C$22,Arbejdsark!K346,"")</f>
        <v/>
      </c>
      <c r="J103" s="41" t="s">
        <v>9</v>
      </c>
      <c r="K103" s="41"/>
      <c r="L103" s="19"/>
      <c r="M103" s="19"/>
      <c r="N103" s="19"/>
      <c r="O103" s="19"/>
      <c r="P103" s="19"/>
      <c r="Q103" s="19"/>
      <c r="R103" s="19"/>
      <c r="S103" s="19"/>
      <c r="T103" s="19"/>
      <c r="U103" s="19"/>
    </row>
    <row r="104" spans="1:21" ht="141.75" customHeight="1" x14ac:dyDescent="0.45">
      <c r="A104" s="45" t="str">
        <f>Arbejdsark!$A$300</f>
        <v>Plandisponering</v>
      </c>
      <c r="B104" s="43" t="str">
        <f>Arbejdsark!$B$351</f>
        <v>8.11</v>
      </c>
      <c r="C104" s="45" t="str">
        <f>IF('Sortering af spørgsmål'!$C$22=Projektforudsætninger!$C$22,Arbejdsark!C351,"")</f>
        <v/>
      </c>
      <c r="D104" s="46">
        <f>Arbejdsark!D113</f>
        <v>0</v>
      </c>
      <c r="E104" s="45">
        <f>Arbejdsark!I113</f>
        <v>0</v>
      </c>
      <c r="F104" s="45">
        <f>Arbejdsark!J113</f>
        <v>0</v>
      </c>
      <c r="G104" s="45" t="e">
        <f>Arbejdsark!#REF!</f>
        <v>#REF!</v>
      </c>
      <c r="H104" s="45" t="e">
        <f>Arbejdsark!#REF!</f>
        <v>#REF!</v>
      </c>
      <c r="I104" s="45" t="str">
        <f>IF('Sortering af spørgsmål'!$C$22=Projektforudsætninger!$C$22,Arbejdsark!K351,"")</f>
        <v/>
      </c>
      <c r="J104" s="41" t="s">
        <v>9</v>
      </c>
      <c r="K104" s="41"/>
      <c r="L104" s="19"/>
      <c r="M104" s="19"/>
      <c r="N104" s="19"/>
      <c r="O104" s="19"/>
      <c r="P104" s="19"/>
      <c r="Q104" s="19"/>
      <c r="R104" s="19"/>
      <c r="S104" s="19"/>
      <c r="T104" s="19"/>
      <c r="U104" s="19"/>
    </row>
    <row r="105" spans="1:21" ht="141.75" customHeight="1" x14ac:dyDescent="0.45">
      <c r="A105" s="45" t="str">
        <f>Arbejdsark!$A$300</f>
        <v>Plandisponering</v>
      </c>
      <c r="B105" s="43" t="str">
        <f>Arbejdsark!$B$356</f>
        <v>8.12</v>
      </c>
      <c r="C105" s="45" t="str">
        <f>IF('Sortering af spørgsmål'!$C$22=Projektforudsætninger!$C$22,Arbejdsark!C356,"")</f>
        <v/>
      </c>
      <c r="D105" s="46">
        <f>Arbejdsark!D113</f>
        <v>0</v>
      </c>
      <c r="E105" s="45">
        <f>Arbejdsark!I113</f>
        <v>0</v>
      </c>
      <c r="F105" s="45">
        <f>Arbejdsark!J113</f>
        <v>0</v>
      </c>
      <c r="G105" s="45" t="e">
        <f>Arbejdsark!#REF!</f>
        <v>#REF!</v>
      </c>
      <c r="H105" s="45" t="e">
        <f>Arbejdsark!#REF!</f>
        <v>#REF!</v>
      </c>
      <c r="I105" s="45" t="str">
        <f>IF('Sortering af spørgsmål'!$C$22=Projektforudsætninger!$C$22,Arbejdsark!K356,"")</f>
        <v/>
      </c>
      <c r="J105" s="41" t="s">
        <v>9</v>
      </c>
      <c r="K105" s="41"/>
      <c r="L105" s="19"/>
      <c r="M105" s="19"/>
      <c r="N105" s="19"/>
      <c r="O105" s="19"/>
      <c r="P105" s="19"/>
      <c r="Q105" s="19"/>
      <c r="R105" s="19"/>
      <c r="S105" s="19"/>
      <c r="T105" s="19"/>
      <c r="U105" s="19"/>
    </row>
    <row r="106" spans="1:21" ht="141.75" customHeight="1" x14ac:dyDescent="0.45">
      <c r="A106" s="45" t="str">
        <f>Arbejdsark!$A$300</f>
        <v>Plandisponering</v>
      </c>
      <c r="B106" s="43" t="str">
        <f>Arbejdsark!$B$361</f>
        <v>8.13</v>
      </c>
      <c r="C106" s="45" t="str">
        <f>IF('Sortering af spørgsmål'!$C$22=Projektforudsætninger!$C$22,Arbejdsark!C361,"")</f>
        <v/>
      </c>
      <c r="D106" s="46" t="str">
        <f>Arbejdsark!D114</f>
        <v>ECO2.1
Vægtning: ECO2.1 pkt 2</v>
      </c>
      <c r="E106" s="45" t="str">
        <f>Arbejdsark!I114</f>
        <v>x</v>
      </c>
      <c r="F106" s="45">
        <f>Arbejdsark!J114</f>
        <v>0</v>
      </c>
      <c r="G106" s="45" t="e">
        <f>Arbejdsark!#REF!</f>
        <v>#REF!</v>
      </c>
      <c r="H106" s="45" t="e">
        <f>Arbejdsark!#REF!</f>
        <v>#REF!</v>
      </c>
      <c r="I106" s="45" t="str">
        <f>IF('Sortering af spørgsmål'!$C$22=Projektforudsætninger!$C$22,Arbejdsark!K361,"")</f>
        <v/>
      </c>
      <c r="J106" s="41" t="s">
        <v>9</v>
      </c>
      <c r="K106" s="41"/>
      <c r="L106" s="19"/>
      <c r="M106" s="19"/>
      <c r="N106" s="19"/>
      <c r="O106" s="19"/>
      <c r="P106" s="19"/>
      <c r="Q106" s="19"/>
      <c r="R106" s="19"/>
      <c r="S106" s="19"/>
      <c r="T106" s="19"/>
      <c r="U106" s="19"/>
    </row>
    <row r="107" spans="1:21" ht="141.75" customHeight="1" x14ac:dyDescent="0.45">
      <c r="A107" s="45" t="str">
        <f>Arbejdsark!$A$300</f>
        <v>Plandisponering</v>
      </c>
      <c r="B107" s="43" t="str">
        <f>Arbejdsark!$B$366</f>
        <v>8.14</v>
      </c>
      <c r="C107" s="45" t="str">
        <f>IF('Sortering af spørgsmål'!$C$22=Projektforudsætninger!$C$22,Arbejdsark!C366,"")</f>
        <v/>
      </c>
      <c r="D107" s="46"/>
      <c r="E107" s="45"/>
      <c r="F107" s="45"/>
      <c r="G107" s="45"/>
      <c r="H107" s="45"/>
      <c r="I107" s="45" t="str">
        <f>IF('Sortering af spørgsmål'!$C$22=Projektforudsætninger!$C$22,Arbejdsark!K366,"")</f>
        <v/>
      </c>
      <c r="J107" s="41" t="s">
        <v>9</v>
      </c>
      <c r="K107" s="41"/>
      <c r="L107" s="19"/>
      <c r="M107" s="19"/>
      <c r="N107" s="19"/>
      <c r="O107" s="19"/>
      <c r="P107" s="19"/>
      <c r="Q107" s="19"/>
      <c r="R107" s="19"/>
      <c r="S107" s="19"/>
      <c r="T107" s="19"/>
      <c r="U107" s="19"/>
    </row>
    <row r="108" spans="1:21" ht="141.75" customHeight="1" x14ac:dyDescent="0.45">
      <c r="A108" s="45" t="str">
        <f>Arbejdsark!$A$300</f>
        <v>Plandisponering</v>
      </c>
      <c r="B108" s="43" t="str">
        <f>Arbejdsark!$B$371</f>
        <v>8.15</v>
      </c>
      <c r="C108" s="45" t="str">
        <f>IF('Sortering af spørgsmål'!$C$22=Projektforudsætninger!$C$22,Arbejdsark!C371,"")</f>
        <v/>
      </c>
      <c r="D108" s="46">
        <f>Arbejdsark!D115</f>
        <v>0</v>
      </c>
      <c r="E108" s="45">
        <f>Arbejdsark!I115</f>
        <v>0</v>
      </c>
      <c r="F108" s="45">
        <f>Arbejdsark!J115</f>
        <v>0</v>
      </c>
      <c r="G108" s="45" t="e">
        <f>Arbejdsark!#REF!</f>
        <v>#REF!</v>
      </c>
      <c r="H108" s="45" t="e">
        <f>Arbejdsark!#REF!</f>
        <v>#REF!</v>
      </c>
      <c r="I108" s="45" t="str">
        <f>IF('Sortering af spørgsmål'!$C$22=Projektforudsætninger!$C$22,Arbejdsark!K371,"")</f>
        <v/>
      </c>
      <c r="J108" s="41" t="s">
        <v>9</v>
      </c>
      <c r="K108" s="41"/>
      <c r="L108" s="19"/>
      <c r="M108" s="19"/>
      <c r="N108" s="19"/>
      <c r="O108" s="19"/>
      <c r="P108" s="19"/>
      <c r="Q108" s="19"/>
      <c r="R108" s="19"/>
      <c r="S108" s="19"/>
      <c r="T108" s="19"/>
      <c r="U108" s="19"/>
    </row>
    <row r="109" spans="1:21" x14ac:dyDescent="0.45">
      <c r="A109" s="45"/>
      <c r="B109" s="45"/>
      <c r="C109" s="45"/>
      <c r="D109" s="46"/>
      <c r="E109" s="45"/>
      <c r="F109" s="45"/>
      <c r="G109" s="45"/>
      <c r="H109" s="45"/>
      <c r="I109" s="45"/>
      <c r="J109" s="47"/>
      <c r="K109" s="47"/>
    </row>
    <row r="110" spans="1:21" x14ac:dyDescent="0.45">
      <c r="A110" s="274" t="str">
        <f>Arbejdsark!$A$376</f>
        <v>TEKNISK KVALITET</v>
      </c>
      <c r="B110" s="274"/>
      <c r="C110" s="274"/>
      <c r="D110" s="274"/>
      <c r="E110" s="274"/>
      <c r="F110" s="274"/>
      <c r="G110" s="274"/>
      <c r="H110" s="274"/>
      <c r="I110" s="275"/>
      <c r="J110" s="276"/>
      <c r="K110" s="276"/>
    </row>
    <row r="111" spans="1:21" ht="46.5" x14ac:dyDescent="0.45">
      <c r="A111" s="58" t="str">
        <f>$A$4</f>
        <v>Tema</v>
      </c>
      <c r="B111" s="58" t="str">
        <f t="shared" ref="B111" si="2">B4</f>
        <v>ID</v>
      </c>
      <c r="C111" s="58" t="str">
        <f>$C$4</f>
        <v>Emne</v>
      </c>
      <c r="D111" s="58" t="str">
        <f>D4</f>
        <v>DGNB kriterium</v>
      </c>
      <c r="E111" s="58" t="str">
        <f>E4</f>
        <v>Byggeudvalg eller Hovedbestyrelse</v>
      </c>
      <c r="F111" s="58" t="str">
        <f>F4</f>
        <v>Projektleder</v>
      </c>
      <c r="G111" s="58" t="str">
        <f>G4</f>
        <v>#REFERENCE!</v>
      </c>
      <c r="H111" s="58" t="str">
        <f>H4</f>
        <v>Ikon</v>
      </c>
      <c r="I111" s="58" t="str">
        <f>$I$4</f>
        <v>Spørgsmål</v>
      </c>
      <c r="J111" s="59" t="str">
        <f>$J$4</f>
        <v>Svar</v>
      </c>
      <c r="K111" s="59" t="str">
        <f>$K$4</f>
        <v>Uddybende kommentarer</v>
      </c>
    </row>
    <row r="112" spans="1:21" x14ac:dyDescent="0.45">
      <c r="A112" s="274" t="str">
        <f>Arbejdsark!$A$378</f>
        <v>Personsikkerhed</v>
      </c>
      <c r="B112" s="274">
        <v>1</v>
      </c>
      <c r="C112" s="274"/>
      <c r="D112" s="274"/>
      <c r="E112" s="274"/>
      <c r="F112" s="274"/>
      <c r="G112" s="274"/>
      <c r="H112" s="274"/>
      <c r="I112" s="275" t="str">
        <f>IF('Sortering af spørgsmål'!$C$23=Projektforudsætninger!$C$22,"Udfyld spørgsmål","Ingen spørgsmål")</f>
        <v>Ingen spørgsmål</v>
      </c>
      <c r="J112" s="276"/>
      <c r="K112" s="276"/>
    </row>
    <row r="113" spans="1:11" ht="85.15" customHeight="1" x14ac:dyDescent="0.45">
      <c r="A113" s="58" t="str">
        <f>Arbejdsark!$A$378</f>
        <v>Personsikkerhed</v>
      </c>
      <c r="B113" s="43" t="str">
        <f>Arbejdsark!$B$378</f>
        <v>1.1</v>
      </c>
      <c r="C113" s="45" t="str">
        <f>IF('Sortering af spørgsmål'!$C$23=Projektforudsætninger!$C$22,Arbejdsark!C378,"")</f>
        <v/>
      </c>
      <c r="D113" s="46">
        <f>Arbejdsark!D120</f>
        <v>0</v>
      </c>
      <c r="E113" s="45">
        <f>Arbejdsark!I120</f>
        <v>0</v>
      </c>
      <c r="F113" s="45">
        <f>Arbejdsark!J120</f>
        <v>0</v>
      </c>
      <c r="G113" s="45" t="e">
        <f>Arbejdsark!#REF!</f>
        <v>#REF!</v>
      </c>
      <c r="H113" s="45" t="e">
        <f>Arbejdsark!#REF!</f>
        <v>#REF!</v>
      </c>
      <c r="I113" s="45" t="str">
        <f>IF('Sortering af spørgsmål'!$C$23=Projektforudsætninger!$C$22,Arbejdsark!K378,"")</f>
        <v/>
      </c>
      <c r="J113" s="41" t="s">
        <v>9</v>
      </c>
      <c r="K113" s="41"/>
    </row>
    <row r="114" spans="1:11" ht="85.15" customHeight="1" x14ac:dyDescent="0.45">
      <c r="A114" s="58" t="str">
        <f>Arbejdsark!$A$378</f>
        <v>Personsikkerhed</v>
      </c>
      <c r="B114" s="43" t="str">
        <f>Arbejdsark!$B$383</f>
        <v>1.2</v>
      </c>
      <c r="C114" s="45" t="str">
        <f>IF('Sortering af spørgsmål'!$C$23=Projektforudsætninger!$C$22,Arbejdsark!C383,"")</f>
        <v/>
      </c>
      <c r="D114" s="46"/>
      <c r="E114" s="45"/>
      <c r="F114" s="45"/>
      <c r="G114" s="45"/>
      <c r="H114" s="45"/>
      <c r="I114" s="45" t="str">
        <f>IF('Sortering af spørgsmål'!$C$23=Projektforudsætninger!$C$22,Arbejdsark!K383,"")</f>
        <v/>
      </c>
      <c r="J114" s="41" t="s">
        <v>9</v>
      </c>
      <c r="K114" s="41"/>
    </row>
    <row r="115" spans="1:11" x14ac:dyDescent="0.45">
      <c r="A115" s="45"/>
      <c r="B115" s="45"/>
      <c r="C115" s="45"/>
      <c r="D115" s="46"/>
      <c r="E115" s="45"/>
      <c r="F115" s="45"/>
      <c r="G115" s="45"/>
      <c r="H115" s="45"/>
      <c r="I115" s="45"/>
      <c r="J115" s="47"/>
      <c r="K115" s="47"/>
    </row>
    <row r="116" spans="1:11" ht="28.5" customHeight="1" x14ac:dyDescent="0.45">
      <c r="A116" s="274" t="str">
        <f>Arbejdsark!$A$388</f>
        <v>Klimaskærmens kvalitet</v>
      </c>
      <c r="B116" s="274">
        <v>2</v>
      </c>
      <c r="C116" s="274"/>
      <c r="D116" s="274"/>
      <c r="E116" s="274"/>
      <c r="F116" s="274"/>
      <c r="G116" s="274"/>
      <c r="H116" s="274"/>
      <c r="I116" s="275" t="str">
        <f>IF('Sortering af spørgsmål'!$C$24=Projektforudsætninger!$C$22,"Udfyld spørgsmål","Ingen spørgsmål")</f>
        <v>Ingen spørgsmål</v>
      </c>
      <c r="J116" s="276"/>
      <c r="K116" s="276"/>
    </row>
    <row r="117" spans="1:11" ht="28.5" customHeight="1" x14ac:dyDescent="0.45">
      <c r="A117" s="45" t="str">
        <f>Arbejdsark!$A$388</f>
        <v>Klimaskærmens kvalitet</v>
      </c>
      <c r="B117" s="43" t="str">
        <f>Arbejdsark!$B$388</f>
        <v>2.1</v>
      </c>
      <c r="C117" s="45" t="str">
        <f>IF('Sortering af spørgsmål'!$C$24=Projektforudsætninger!$C$22,Arbejdsark!C388,"")</f>
        <v/>
      </c>
      <c r="D117" s="46">
        <f>Arbejdsark!D125</f>
        <v>0</v>
      </c>
      <c r="E117" s="45">
        <f>Arbejdsark!I125</f>
        <v>0</v>
      </c>
      <c r="F117" s="45">
        <f>Arbejdsark!J125</f>
        <v>0</v>
      </c>
      <c r="G117" s="45" t="e">
        <f>Arbejdsark!#REF!</f>
        <v>#REF!</v>
      </c>
      <c r="H117" s="45" t="e">
        <f>Arbejdsark!#REF!</f>
        <v>#REF!</v>
      </c>
      <c r="I117" s="45" t="str">
        <f>IF('Sortering af spørgsmål'!$C$24=Projektforudsætninger!$C$22,Arbejdsark!K388,"")</f>
        <v/>
      </c>
      <c r="J117" s="41" t="s">
        <v>9</v>
      </c>
      <c r="K117" s="41"/>
    </row>
    <row r="118" spans="1:11" ht="28.5" customHeight="1" x14ac:dyDescent="0.45">
      <c r="A118" s="45" t="str">
        <f>Arbejdsark!$A$388</f>
        <v>Klimaskærmens kvalitet</v>
      </c>
      <c r="B118" s="43" t="str">
        <f>Arbejdsark!$B$393</f>
        <v>2.2</v>
      </c>
      <c r="C118" s="45" t="str">
        <f>IF('Sortering af spørgsmål'!$C$24=Projektforudsætninger!$C$22,Arbejdsark!C393,"")</f>
        <v/>
      </c>
      <c r="D118" s="46">
        <f>Arbejdsark!D126</f>
        <v>0</v>
      </c>
      <c r="E118" s="45">
        <f>Arbejdsark!I126</f>
        <v>0</v>
      </c>
      <c r="F118" s="45">
        <f>Arbejdsark!J126</f>
        <v>0</v>
      </c>
      <c r="G118" s="45" t="e">
        <f>Arbejdsark!#REF!</f>
        <v>#REF!</v>
      </c>
      <c r="H118" s="45" t="e">
        <f>Arbejdsark!#REF!</f>
        <v>#REF!</v>
      </c>
      <c r="I118" s="45" t="str">
        <f>IF('Sortering af spørgsmål'!$C$24=Projektforudsætninger!$C$22,Arbejdsark!K393,"")</f>
        <v/>
      </c>
      <c r="J118" s="41" t="s">
        <v>9</v>
      </c>
      <c r="K118" s="41"/>
    </row>
    <row r="119" spans="1:11" ht="99.4" customHeight="1" x14ac:dyDescent="0.45">
      <c r="A119" s="45" t="str">
        <f>Arbejdsark!$A$388</f>
        <v>Klimaskærmens kvalitet</v>
      </c>
      <c r="B119" s="43" t="str">
        <f>Arbejdsark!$B$398</f>
        <v>2.3</v>
      </c>
      <c r="C119" s="45" t="str">
        <f>IF('Sortering af spørgsmål'!$C$24=Projektforudsætninger!$C$22,Arbejdsark!C398,"")</f>
        <v/>
      </c>
      <c r="D119" s="46">
        <f>Arbejdsark!D127</f>
        <v>0</v>
      </c>
      <c r="E119" s="45">
        <f>Arbejdsark!I127</f>
        <v>0</v>
      </c>
      <c r="F119" s="45">
        <f>Arbejdsark!J127</f>
        <v>0</v>
      </c>
      <c r="G119" s="45" t="e">
        <f>Arbejdsark!#REF!</f>
        <v>#REF!</v>
      </c>
      <c r="H119" s="45" t="e">
        <f>Arbejdsark!#REF!</f>
        <v>#REF!</v>
      </c>
      <c r="I119" s="45" t="str">
        <f>IF('Sortering af spørgsmål'!$C$24=Projektforudsætninger!$C$22,Arbejdsark!K398,"")</f>
        <v/>
      </c>
      <c r="J119" s="41" t="s">
        <v>9</v>
      </c>
      <c r="K119" s="41"/>
    </row>
    <row r="120" spans="1:11" x14ac:dyDescent="0.45">
      <c r="A120" s="45" t="str">
        <f>Arbejdsark!$A$388</f>
        <v>Klimaskærmens kvalitet</v>
      </c>
      <c r="B120" s="43" t="str">
        <f>Arbejdsark!$B$403</f>
        <v>2.4</v>
      </c>
      <c r="C120" s="45" t="str">
        <f>IF('Sortering af spørgsmål'!$C$24=Projektforudsætninger!$C$22,Arbejdsark!C403,"")</f>
        <v/>
      </c>
      <c r="D120" s="46">
        <f>Arbejdsark!D128</f>
        <v>0</v>
      </c>
      <c r="E120" s="45">
        <f>Arbejdsark!I128</f>
        <v>0</v>
      </c>
      <c r="F120" s="45">
        <f>Arbejdsark!J128</f>
        <v>0</v>
      </c>
      <c r="G120" s="45" t="e">
        <f>Arbejdsark!#REF!</f>
        <v>#REF!</v>
      </c>
      <c r="H120" s="45" t="e">
        <f>Arbejdsark!#REF!</f>
        <v>#REF!</v>
      </c>
      <c r="I120" s="45" t="str">
        <f>IF('Sortering af spørgsmål'!$C$24=Projektforudsætninger!$C$22,Arbejdsark!K403,"")</f>
        <v/>
      </c>
      <c r="J120" s="41" t="s">
        <v>9</v>
      </c>
      <c r="K120" s="41"/>
    </row>
    <row r="121" spans="1:11" ht="28.5" customHeight="1" x14ac:dyDescent="0.45">
      <c r="A121" s="45" t="str">
        <f>Arbejdsark!$A$388</f>
        <v>Klimaskærmens kvalitet</v>
      </c>
      <c r="B121" s="43" t="str">
        <f>Arbejdsark!$B$408</f>
        <v>2.5</v>
      </c>
      <c r="C121" s="45" t="str">
        <f>IF('Sortering af spørgsmål'!$C$24=Projektforudsætninger!$C$22,Arbejdsark!C408,"")</f>
        <v/>
      </c>
      <c r="D121" s="46"/>
      <c r="E121" s="45"/>
      <c r="F121" s="45"/>
      <c r="G121" s="45"/>
      <c r="H121" s="45"/>
      <c r="I121" s="45" t="str">
        <f>IF('Sortering af spørgsmål'!$C$24=Projektforudsætninger!$C$22,Arbejdsark!K408,"")</f>
        <v/>
      </c>
      <c r="J121" s="41" t="s">
        <v>9</v>
      </c>
      <c r="K121" s="41"/>
    </row>
    <row r="122" spans="1:11" ht="113.65" customHeight="1" x14ac:dyDescent="0.45">
      <c r="A122" s="45" t="str">
        <f>Arbejdsark!$A$388</f>
        <v>Klimaskærmens kvalitet</v>
      </c>
      <c r="B122" s="43" t="str">
        <f>Arbejdsark!$B$413</f>
        <v>2.6</v>
      </c>
      <c r="C122" s="45" t="str">
        <f>IF('Sortering af spørgsmål'!$C$24=Projektforudsætninger!$C$22,Arbejdsark!C413,"")</f>
        <v/>
      </c>
      <c r="D122" s="46" t="str">
        <f>Arbejdsark!D129</f>
        <v>ECO2.1
Vægtning: ECO2.1 pkt 5</v>
      </c>
      <c r="E122" s="45" t="str">
        <f>Arbejdsark!I129</f>
        <v>x</v>
      </c>
      <c r="F122" s="45">
        <f>Arbejdsark!J129</f>
        <v>0</v>
      </c>
      <c r="G122" s="45" t="e">
        <f>Arbejdsark!#REF!</f>
        <v>#REF!</v>
      </c>
      <c r="H122" s="45" t="e">
        <f>Arbejdsark!#REF!</f>
        <v>#REF!</v>
      </c>
      <c r="I122" s="45" t="str">
        <f>IF('Sortering af spørgsmål'!$C$24=Projektforudsætninger!$C$22,Arbejdsark!K413,"")</f>
        <v/>
      </c>
      <c r="J122" s="41" t="s">
        <v>9</v>
      </c>
      <c r="K122" s="41"/>
    </row>
    <row r="123" spans="1:11" ht="113.65" customHeight="1" x14ac:dyDescent="0.45">
      <c r="A123" s="45" t="str">
        <f>Arbejdsark!$A$388</f>
        <v>Klimaskærmens kvalitet</v>
      </c>
      <c r="B123" s="43" t="str">
        <f>Arbejdsark!$B$418</f>
        <v>2.7</v>
      </c>
      <c r="C123" s="45" t="str">
        <f>IF('Sortering af spørgsmål'!$C$24=Projektforudsætninger!$C$22,Arbejdsark!C418,"")</f>
        <v/>
      </c>
      <c r="D123" s="46">
        <f>Arbejdsark!D130</f>
        <v>0</v>
      </c>
      <c r="E123" s="45">
        <f>Arbejdsark!I130</f>
        <v>0</v>
      </c>
      <c r="F123" s="45">
        <f>Arbejdsark!J130</f>
        <v>0</v>
      </c>
      <c r="G123" s="45" t="e">
        <f>Arbejdsark!#REF!</f>
        <v>#REF!</v>
      </c>
      <c r="H123" s="45" t="e">
        <f>Arbejdsark!#REF!</f>
        <v>#REF!</v>
      </c>
      <c r="I123" s="45" t="str">
        <f>IF('Sortering af spørgsmål'!$C$24=Projektforudsætninger!$C$22,Arbejdsark!K418,"")</f>
        <v/>
      </c>
      <c r="J123" s="41" t="s">
        <v>9</v>
      </c>
      <c r="K123" s="41"/>
    </row>
    <row r="124" spans="1:11" x14ac:dyDescent="0.45">
      <c r="A124" s="45"/>
      <c r="B124" s="45"/>
      <c r="C124" s="45"/>
      <c r="D124" s="46"/>
      <c r="E124" s="45"/>
      <c r="F124" s="45"/>
      <c r="G124" s="45"/>
      <c r="H124" s="45"/>
      <c r="I124" s="45"/>
      <c r="J124" s="47"/>
      <c r="K124" s="47"/>
    </row>
    <row r="125" spans="1:11" x14ac:dyDescent="0.45">
      <c r="A125" s="274" t="str">
        <f>Arbejdsark!$A$424</f>
        <v>Renhold og vedligehold</v>
      </c>
      <c r="B125" s="274">
        <v>3</v>
      </c>
      <c r="C125" s="274"/>
      <c r="D125" s="274"/>
      <c r="E125" s="274"/>
      <c r="F125" s="274"/>
      <c r="G125" s="274"/>
      <c r="H125" s="274"/>
      <c r="I125" s="275" t="str">
        <f>IF('Sortering af spørgsmål'!$C$25=Projektforudsætninger!$C$22,"Udfyld spørgsmål","Ingen spørgsmål")</f>
        <v>Ingen spørgsmål</v>
      </c>
      <c r="J125" s="276"/>
      <c r="K125" s="276"/>
    </row>
    <row r="126" spans="1:11" ht="56.85" customHeight="1" x14ac:dyDescent="0.45">
      <c r="A126" s="45" t="str">
        <f>Arbejdsark!$A$424</f>
        <v>Renhold og vedligehold</v>
      </c>
      <c r="B126" s="43" t="str">
        <f>Arbejdsark!$B$424</f>
        <v>3.1</v>
      </c>
      <c r="C126" s="45" t="str">
        <f>IF('Sortering af spørgsmål'!$C$25=Projektforudsætninger!$C$22,Arbejdsark!C424,"")</f>
        <v/>
      </c>
      <c r="D126" s="46" t="str">
        <f>Arbejdsark!D134</f>
        <v>ECO2.1
Vægtning: 75% af ECO2.1 pkt 6</v>
      </c>
      <c r="E126" s="45" t="str">
        <f>Arbejdsark!I134</f>
        <v>x</v>
      </c>
      <c r="F126" s="45">
        <f>Arbejdsark!J134</f>
        <v>0</v>
      </c>
      <c r="G126" s="45" t="e">
        <f>Arbejdsark!#REF!</f>
        <v>#REF!</v>
      </c>
      <c r="H126" s="45" t="e">
        <f>Arbejdsark!#REF!</f>
        <v>#REF!</v>
      </c>
      <c r="I126" s="45" t="str">
        <f>IF('Sortering af spørgsmål'!$C$25=Projektforudsætninger!$C$22,Arbejdsark!K424,"")</f>
        <v/>
      </c>
      <c r="J126" s="41" t="s">
        <v>9</v>
      </c>
      <c r="K126" s="41"/>
    </row>
    <row r="127" spans="1:11" ht="85.15" customHeight="1" x14ac:dyDescent="0.45">
      <c r="A127" s="45" t="str">
        <f>Arbejdsark!$A$424</f>
        <v>Renhold og vedligehold</v>
      </c>
      <c r="B127" s="43" t="str">
        <f>Arbejdsark!$B$429</f>
        <v>3.2</v>
      </c>
      <c r="C127" s="45" t="str">
        <f>IF('Sortering af spørgsmål'!$C$25=Projektforudsætninger!$C$22,Arbejdsark!C429,"")</f>
        <v/>
      </c>
      <c r="D127" s="46">
        <f>Arbejdsark!D135</f>
        <v>0</v>
      </c>
      <c r="E127" s="45">
        <f>Arbejdsark!I135</f>
        <v>0</v>
      </c>
      <c r="F127" s="45">
        <f>Arbejdsark!J135</f>
        <v>0</v>
      </c>
      <c r="G127" s="45" t="e">
        <f>Arbejdsark!#REF!</f>
        <v>#REF!</v>
      </c>
      <c r="H127" s="45" t="e">
        <f>Arbejdsark!#REF!</f>
        <v>#REF!</v>
      </c>
      <c r="I127" s="45" t="str">
        <f>IF('Sortering af spørgsmål'!$C$25=Projektforudsætninger!$C$22,Arbejdsark!K429,"")</f>
        <v/>
      </c>
      <c r="J127" s="41" t="s">
        <v>9</v>
      </c>
      <c r="K127" s="41"/>
    </row>
    <row r="128" spans="1:11" ht="85.15" customHeight="1" x14ac:dyDescent="0.45">
      <c r="A128" s="45" t="str">
        <f>Arbejdsark!$A$424</f>
        <v>Renhold og vedligehold</v>
      </c>
      <c r="B128" s="43" t="str">
        <f>Arbejdsark!$B$434</f>
        <v>3.3</v>
      </c>
      <c r="C128" s="45" t="str">
        <f>IF('Sortering af spørgsmål'!$C$25=Projektforudsætninger!$C$22,Arbejdsark!C434,"")</f>
        <v/>
      </c>
      <c r="D128" s="46">
        <f>Arbejdsark!D136</f>
        <v>0</v>
      </c>
      <c r="E128" s="45">
        <f>Arbejdsark!I136</f>
        <v>0</v>
      </c>
      <c r="F128" s="45">
        <f>Arbejdsark!J136</f>
        <v>0</v>
      </c>
      <c r="G128" s="45" t="e">
        <f>Arbejdsark!#REF!</f>
        <v>#REF!</v>
      </c>
      <c r="H128" s="45" t="e">
        <f>Arbejdsark!#REF!</f>
        <v>#REF!</v>
      </c>
      <c r="I128" s="45" t="str">
        <f>IF('Sortering af spørgsmål'!$C$25=Projektforudsætninger!$C$22,Arbejdsark!K434,"")</f>
        <v/>
      </c>
      <c r="J128" s="41" t="s">
        <v>9</v>
      </c>
      <c r="K128" s="41"/>
    </row>
    <row r="129" spans="1:11" x14ac:dyDescent="0.45">
      <c r="A129" s="45" t="str">
        <f>Arbejdsark!$A$424</f>
        <v>Renhold og vedligehold</v>
      </c>
      <c r="B129" s="43" t="str">
        <f>Arbejdsark!$B$439</f>
        <v>3.4</v>
      </c>
      <c r="C129" s="45" t="str">
        <f>IF('Sortering af spørgsmål'!$C$25=Projektforudsætninger!$C$22,Arbejdsark!C439,"")</f>
        <v/>
      </c>
      <c r="D129" s="46">
        <f>Arbejdsark!D137</f>
        <v>0</v>
      </c>
      <c r="E129" s="45">
        <f>Arbejdsark!I137</f>
        <v>0</v>
      </c>
      <c r="F129" s="45">
        <f>Arbejdsark!J137</f>
        <v>0</v>
      </c>
      <c r="G129" s="45" t="e">
        <f>Arbejdsark!#REF!</f>
        <v>#REF!</v>
      </c>
      <c r="H129" s="45" t="e">
        <f>Arbejdsark!#REF!</f>
        <v>#REF!</v>
      </c>
      <c r="I129" s="45" t="str">
        <f>IF('Sortering af spørgsmål'!$C$25=Projektforudsætninger!$C$22,Arbejdsark!K439,"")</f>
        <v/>
      </c>
      <c r="J129" s="41" t="s">
        <v>9</v>
      </c>
      <c r="K129" s="41"/>
    </row>
    <row r="130" spans="1:11" ht="28.5" customHeight="1" x14ac:dyDescent="0.45">
      <c r="A130" s="45" t="str">
        <f>Arbejdsark!$A$424</f>
        <v>Renhold og vedligehold</v>
      </c>
      <c r="B130" s="43" t="str">
        <f>Arbejdsark!$B$444</f>
        <v>3.5</v>
      </c>
      <c r="C130" s="45" t="str">
        <f>IF('Sortering af spørgsmål'!$C$25=Projektforudsætninger!$C$22,Arbejdsark!C444,"")</f>
        <v/>
      </c>
      <c r="D130" s="46">
        <f>Arbejdsark!D138</f>
        <v>0</v>
      </c>
      <c r="E130" s="45">
        <f>Arbejdsark!I138</f>
        <v>0</v>
      </c>
      <c r="F130" s="45">
        <f>Arbejdsark!J138</f>
        <v>0</v>
      </c>
      <c r="G130" s="45" t="e">
        <f>Arbejdsark!#REF!</f>
        <v>#REF!</v>
      </c>
      <c r="H130" s="45" t="e">
        <f>Arbejdsark!#REF!</f>
        <v>#REF!</v>
      </c>
      <c r="I130" s="45" t="str">
        <f>IF('Sortering af spørgsmål'!$C$25=Projektforudsætninger!$C$22,Arbejdsark!K444,"")</f>
        <v/>
      </c>
      <c r="J130" s="41" t="s">
        <v>9</v>
      </c>
      <c r="K130" s="41"/>
    </row>
    <row r="131" spans="1:11" ht="113.65" customHeight="1" x14ac:dyDescent="0.45">
      <c r="A131" s="45" t="str">
        <f>Arbejdsark!$A$424</f>
        <v>Renhold og vedligehold</v>
      </c>
      <c r="B131" s="43" t="str">
        <f>Arbejdsark!$B$449</f>
        <v>3.6</v>
      </c>
      <c r="C131" s="45" t="str">
        <f>IF('Sortering af spørgsmål'!$C$25=Projektforudsætninger!$C$22,Arbejdsark!C449,"")</f>
        <v/>
      </c>
      <c r="D131" s="46" t="str">
        <f>Arbejdsark!D139</f>
        <v>ECO2.1 + TEC1.4
Vægtning: ECO2.1 pkt. 7.1, 7.2 og 7.3 + TEC1.4 pkt. 1.1, 1.2 og 1.3</v>
      </c>
      <c r="E131" s="45" t="str">
        <f>Arbejdsark!I139</f>
        <v>x</v>
      </c>
      <c r="F131" s="45">
        <f>Arbejdsark!J139</f>
        <v>0</v>
      </c>
      <c r="G131" s="45" t="e">
        <f>Arbejdsark!#REF!</f>
        <v>#REF!</v>
      </c>
      <c r="H131" s="45" t="e">
        <f>Arbejdsark!#REF!</f>
        <v>#REF!</v>
      </c>
      <c r="I131" s="45" t="str">
        <f>IF('Sortering af spørgsmål'!$C$25=Projektforudsætninger!$C$22,Arbejdsark!K449,"")</f>
        <v/>
      </c>
      <c r="J131" s="41" t="s">
        <v>9</v>
      </c>
      <c r="K131" s="41"/>
    </row>
    <row r="132" spans="1:11" x14ac:dyDescent="0.45">
      <c r="A132" s="323" t="str">
        <f>Arbejdsark!$A$455</f>
        <v>Idriftsættelse</v>
      </c>
      <c r="B132" s="313">
        <v>4</v>
      </c>
      <c r="C132" s="323"/>
      <c r="D132" s="323"/>
      <c r="E132" s="323"/>
      <c r="F132" s="323"/>
      <c r="G132" s="323"/>
      <c r="H132" s="323"/>
      <c r="I132" s="313" t="str">
        <f>IF('Sortering af spørgsmål'!$C$33=Projektforudsætninger!$C$22,"Udfyld spørgsmål","Ingen spørgsmål")</f>
        <v>Ingen spørgsmål</v>
      </c>
      <c r="J132" s="314"/>
      <c r="K132" s="314"/>
    </row>
    <row r="133" spans="1:11" ht="113.65" customHeight="1" x14ac:dyDescent="0.45">
      <c r="A133" s="45" t="str">
        <f>Arbejdsark!$A$455</f>
        <v>Idriftsættelse</v>
      </c>
      <c r="B133" s="327" t="str">
        <f>Arbejdsark!$B$455</f>
        <v>4.1</v>
      </c>
      <c r="C133" s="45" t="str">
        <f>IF('Sortering af spørgsmål'!$C$33=Projektforudsætninger!$C$22,Arbejdsark!C455,"")</f>
        <v/>
      </c>
      <c r="D133" s="46" t="str">
        <f>Arbejdsark!D167</f>
        <v>SOC1.1
Vægtning: SOC1.1 pkt. 1 + 4</v>
      </c>
      <c r="E133" s="45" t="str">
        <f>Arbejdsark!I167</f>
        <v>x</v>
      </c>
      <c r="F133" s="45">
        <f>Arbejdsark!J167</f>
        <v>0</v>
      </c>
      <c r="G133" s="45" t="e">
        <f>Arbejdsark!#REF!</f>
        <v>#REF!</v>
      </c>
      <c r="H133" s="45" t="e">
        <f>Arbejdsark!#REF!</f>
        <v>#REF!</v>
      </c>
      <c r="I133" s="45" t="str">
        <f>IF('Sortering af spørgsmål'!$C$33=Projektforudsætninger!$C$22,Arbejdsark!K455,"")</f>
        <v/>
      </c>
      <c r="J133" s="41" t="s">
        <v>9</v>
      </c>
      <c r="K133" s="41"/>
    </row>
    <row r="134" spans="1:11" x14ac:dyDescent="0.45">
      <c r="A134" s="45"/>
      <c r="B134" s="319"/>
      <c r="C134" s="45"/>
      <c r="D134" s="46"/>
      <c r="E134" s="45"/>
      <c r="F134" s="45"/>
      <c r="G134" s="45"/>
      <c r="H134" s="45"/>
      <c r="I134" s="45"/>
      <c r="J134" s="47"/>
      <c r="K134" s="47"/>
    </row>
    <row r="135" spans="1:11" x14ac:dyDescent="0.45">
      <c r="A135" s="62" t="str">
        <f>Arbejdsark!$A$460</f>
        <v>PROCES KVALITET</v>
      </c>
      <c r="B135" s="328"/>
      <c r="C135" s="62"/>
      <c r="D135" s="62"/>
      <c r="E135" s="62"/>
      <c r="F135" s="62"/>
      <c r="G135" s="62"/>
      <c r="H135" s="62"/>
      <c r="I135" s="63"/>
      <c r="J135" s="64"/>
      <c r="K135" s="64"/>
    </row>
    <row r="136" spans="1:11" ht="46.5" x14ac:dyDescent="0.45">
      <c r="A136" s="58" t="str">
        <f>$A$4</f>
        <v>Tema</v>
      </c>
      <c r="B136" s="319" t="str">
        <f>B4</f>
        <v>ID</v>
      </c>
      <c r="C136" s="58" t="str">
        <f>$C$4</f>
        <v>Emne</v>
      </c>
      <c r="D136" s="58" t="str">
        <f>D4</f>
        <v>DGNB kriterium</v>
      </c>
      <c r="E136" s="58" t="str">
        <f>E4</f>
        <v>Byggeudvalg eller Hovedbestyrelse</v>
      </c>
      <c r="F136" s="58" t="str">
        <f>F4</f>
        <v>Projektleder</v>
      </c>
      <c r="G136" s="58" t="str">
        <f>G4</f>
        <v>#REFERENCE!</v>
      </c>
      <c r="H136" s="58" t="str">
        <f>H4</f>
        <v>Ikon</v>
      </c>
      <c r="I136" s="58" t="str">
        <f>$I$4</f>
        <v>Spørgsmål</v>
      </c>
      <c r="J136" s="59" t="str">
        <f>$J$4</f>
        <v>Svar</v>
      </c>
      <c r="K136" s="59" t="str">
        <f>$K$4</f>
        <v>Uddybende kommentarer</v>
      </c>
    </row>
    <row r="137" spans="1:11" x14ac:dyDescent="0.45">
      <c r="A137" s="62" t="str">
        <f>Arbejdsark!$A$462</f>
        <v>Byggeprogram</v>
      </c>
      <c r="B137" s="328">
        <v>1</v>
      </c>
      <c r="C137" s="62"/>
      <c r="D137" s="62"/>
      <c r="E137" s="62"/>
      <c r="F137" s="62"/>
      <c r="G137" s="62"/>
      <c r="H137" s="62"/>
      <c r="I137" s="63" t="str">
        <f>IF('Sortering af spørgsmål'!$C$26=Projektforudsætninger!$C$22,"Udfyld spørgsmål","Ingen spørgsmål")</f>
        <v>Ingen spørgsmål</v>
      </c>
      <c r="J137" s="64"/>
      <c r="K137" s="64"/>
    </row>
    <row r="138" spans="1:11" ht="98.25" customHeight="1" x14ac:dyDescent="0.45">
      <c r="A138" s="58" t="str">
        <f>Arbejdsark!$A$462</f>
        <v>Byggeprogram</v>
      </c>
      <c r="B138" s="327" t="str">
        <f>Arbejdsark!$B$462</f>
        <v>1.1</v>
      </c>
      <c r="C138" s="45" t="str">
        <f>IF('Sortering af spørgsmål'!$C$26=Projektforudsætninger!$C$22,Arbejdsark!C462,"")</f>
        <v/>
      </c>
      <c r="D138" s="46">
        <f>Arbejdsark!D145</f>
        <v>0</v>
      </c>
      <c r="E138" s="45">
        <f>Arbejdsark!I145</f>
        <v>0</v>
      </c>
      <c r="F138" s="45">
        <f>Arbejdsark!J145</f>
        <v>0</v>
      </c>
      <c r="G138" s="45" t="e">
        <f>Arbejdsark!#REF!</f>
        <v>#REF!</v>
      </c>
      <c r="H138" s="45" t="e">
        <f>Arbejdsark!#REF!</f>
        <v>#REF!</v>
      </c>
      <c r="I138" s="45" t="str">
        <f>IF('Sortering af spørgsmål'!$C$26=Projektforudsætninger!$C$22,Arbejdsark!K462,"")</f>
        <v/>
      </c>
      <c r="J138" s="41" t="s">
        <v>9</v>
      </c>
      <c r="K138" s="41"/>
    </row>
    <row r="139" spans="1:11" x14ac:dyDescent="0.45">
      <c r="A139" s="45"/>
      <c r="B139" s="319"/>
      <c r="C139" s="45"/>
      <c r="D139" s="46"/>
      <c r="E139" s="45"/>
      <c r="F139" s="45"/>
      <c r="G139" s="45"/>
      <c r="H139" s="45"/>
      <c r="I139" s="45"/>
      <c r="J139" s="47"/>
      <c r="K139" s="47"/>
    </row>
    <row r="140" spans="1:11" ht="28.5" customHeight="1" x14ac:dyDescent="0.45">
      <c r="A140" s="62" t="str">
        <f>Arbejdsark!$A$467</f>
        <v>Integreret designproces</v>
      </c>
      <c r="B140" s="328">
        <v>2</v>
      </c>
      <c r="C140" s="62"/>
      <c r="D140" s="62"/>
      <c r="E140" s="62"/>
      <c r="F140" s="62"/>
      <c r="G140" s="62"/>
      <c r="H140" s="62"/>
      <c r="I140" s="63" t="str">
        <f>IF('Sortering af spørgsmål'!$C$27=Projektforudsætninger!$C$22,"Udfyld spørgsmål","Ingen spørgsmål")</f>
        <v>Ingen spørgsmål</v>
      </c>
      <c r="J140" s="64"/>
      <c r="K140" s="64"/>
    </row>
    <row r="141" spans="1:11" ht="28.5" customHeight="1" x14ac:dyDescent="0.45">
      <c r="A141" s="45" t="str">
        <f>Arbejdsark!$A$467</f>
        <v>Integreret designproces</v>
      </c>
      <c r="B141" s="327" t="str">
        <f>Arbejdsark!$B$467</f>
        <v>2.1</v>
      </c>
      <c r="C141" s="45" t="str">
        <f>IF('Sortering af spørgsmål'!$C$27=Projektforudsætninger!$C$22,Arbejdsark!C467,"")</f>
        <v/>
      </c>
      <c r="D141" s="46">
        <f>Arbejdsark!D147</f>
        <v>0</v>
      </c>
      <c r="E141" s="45">
        <f>Arbejdsark!I147</f>
        <v>0</v>
      </c>
      <c r="F141" s="45">
        <f>Arbejdsark!J147</f>
        <v>0</v>
      </c>
      <c r="G141" s="45" t="e">
        <f>Arbejdsark!#REF!</f>
        <v>#REF!</v>
      </c>
      <c r="H141" s="45" t="e">
        <f>Arbejdsark!#REF!</f>
        <v>#REF!</v>
      </c>
      <c r="I141" s="45" t="str">
        <f>IF('Sortering af spørgsmål'!$C$27=Projektforudsætninger!$C$22,Arbejdsark!K467,"")</f>
        <v/>
      </c>
      <c r="J141" s="41" t="s">
        <v>9</v>
      </c>
      <c r="K141" s="41"/>
    </row>
    <row r="142" spans="1:11" ht="28.5" customHeight="1" x14ac:dyDescent="0.45">
      <c r="A142" s="45" t="str">
        <f>Arbejdsark!$A$467</f>
        <v>Integreret designproces</v>
      </c>
      <c r="B142" s="327" t="str">
        <f>Arbejdsark!$B$472</f>
        <v>2.2</v>
      </c>
      <c r="C142" s="45" t="str">
        <f>IF('Sortering af spørgsmål'!$C$27=Projektforudsætninger!$C$22,Arbejdsark!C472,"")</f>
        <v/>
      </c>
      <c r="D142" s="46">
        <f>Arbejdsark!D148</f>
        <v>0</v>
      </c>
      <c r="E142" s="45">
        <f>Arbejdsark!I148</f>
        <v>0</v>
      </c>
      <c r="F142" s="45">
        <f>Arbejdsark!J148</f>
        <v>0</v>
      </c>
      <c r="G142" s="45" t="e">
        <f>Arbejdsark!#REF!</f>
        <v>#REF!</v>
      </c>
      <c r="H142" s="45" t="e">
        <f>Arbejdsark!#REF!</f>
        <v>#REF!</v>
      </c>
      <c r="I142" s="45" t="str">
        <f>IF('Sortering af spørgsmål'!$C$27=Projektforudsætninger!$C$22,Arbejdsark!K472,"")</f>
        <v/>
      </c>
      <c r="J142" s="41" t="s">
        <v>9</v>
      </c>
      <c r="K142" s="41"/>
    </row>
    <row r="143" spans="1:11" ht="113.65" customHeight="1" x14ac:dyDescent="0.45">
      <c r="A143" s="45" t="str">
        <f>Arbejdsark!$A$467</f>
        <v>Integreret designproces</v>
      </c>
      <c r="B143" s="327" t="str">
        <f>Arbejdsark!$B$477</f>
        <v>2.3</v>
      </c>
      <c r="C143" s="45" t="str">
        <f>IF('Sortering af spørgsmål'!$C$27=Projektforudsætninger!$C$22,Arbejdsark!C477,"")</f>
        <v/>
      </c>
      <c r="D143" s="46" t="str">
        <f>Arbejdsark!D149</f>
        <v>ECO2.1
Vægtning: 25 % af ECO2.1 pkt. 6</v>
      </c>
      <c r="E143" s="45" t="str">
        <f>Arbejdsark!I149</f>
        <v>x</v>
      </c>
      <c r="F143" s="45">
        <f>Arbejdsark!J149</f>
        <v>0</v>
      </c>
      <c r="G143" s="45" t="e">
        <f>Arbejdsark!#REF!</f>
        <v>#REF!</v>
      </c>
      <c r="H143" s="45" t="e">
        <f>Arbejdsark!#REF!</f>
        <v>#REF!</v>
      </c>
      <c r="I143" s="45" t="str">
        <f>IF('Sortering af spørgsmål'!$C$27=Projektforudsætninger!$C$22,Arbejdsark!K477,"")</f>
        <v/>
      </c>
      <c r="J143" s="41" t="s">
        <v>9</v>
      </c>
      <c r="K143" s="41"/>
    </row>
    <row r="144" spans="1:11" x14ac:dyDescent="0.45">
      <c r="A144" s="45" t="str">
        <f>Arbejdsark!$A$467</f>
        <v>Integreret designproces</v>
      </c>
      <c r="B144" s="327" t="str">
        <f>Arbejdsark!$B$482</f>
        <v>2.4</v>
      </c>
      <c r="C144" s="45" t="str">
        <f>IF('Sortering af spørgsmål'!$C$27=Projektforudsætninger!$C$22,Arbejdsark!C482,"")</f>
        <v/>
      </c>
      <c r="D144" s="46">
        <f>Arbejdsark!D150</f>
        <v>0</v>
      </c>
      <c r="E144" s="45">
        <f>Arbejdsark!I150</f>
        <v>0</v>
      </c>
      <c r="F144" s="45">
        <f>Arbejdsark!J150</f>
        <v>0</v>
      </c>
      <c r="G144" s="45" t="e">
        <f>Arbejdsark!#REF!</f>
        <v>#REF!</v>
      </c>
      <c r="H144" s="45" t="e">
        <f>Arbejdsark!#REF!</f>
        <v>#REF!</v>
      </c>
      <c r="I144" s="45" t="str">
        <f>IF('Sortering af spørgsmål'!$C$27=Projektforudsætninger!$C$22,Arbejdsark!K482,"")</f>
        <v/>
      </c>
      <c r="J144" s="41" t="s">
        <v>9</v>
      </c>
      <c r="K144" s="41"/>
    </row>
    <row r="145" spans="1:11" ht="28.5" customHeight="1" x14ac:dyDescent="0.45">
      <c r="A145" s="45" t="str">
        <f>Arbejdsark!$A$467</f>
        <v>Integreret designproces</v>
      </c>
      <c r="B145" s="327" t="str">
        <f>Arbejdsark!$B$487</f>
        <v>2.5</v>
      </c>
      <c r="C145" s="45" t="str">
        <f>IF('Sortering af spørgsmål'!$C$27=Projektforudsætninger!$C$22,Arbejdsark!C487,"")</f>
        <v/>
      </c>
      <c r="D145" s="46">
        <f>Arbejdsark!D151</f>
        <v>0</v>
      </c>
      <c r="E145" s="45">
        <f>Arbejdsark!I151</f>
        <v>0</v>
      </c>
      <c r="F145" s="45">
        <f>Arbejdsark!J151</f>
        <v>0</v>
      </c>
      <c r="G145" s="45" t="e">
        <f>Arbejdsark!#REF!</f>
        <v>#REF!</v>
      </c>
      <c r="H145" s="45" t="e">
        <f>Arbejdsark!#REF!</f>
        <v>#REF!</v>
      </c>
      <c r="I145" s="45" t="str">
        <f>IF('Sortering af spørgsmål'!$C$27=Projektforudsætninger!$C$22,Arbejdsark!K487,"")</f>
        <v/>
      </c>
      <c r="J145" s="41" t="s">
        <v>9</v>
      </c>
      <c r="K145" s="41"/>
    </row>
    <row r="146" spans="1:11" ht="70.900000000000006" customHeight="1" x14ac:dyDescent="0.45">
      <c r="A146" s="45"/>
      <c r="B146" s="319"/>
      <c r="C146" s="45"/>
      <c r="D146" s="46"/>
      <c r="E146" s="45"/>
      <c r="F146" s="45"/>
      <c r="G146" s="45"/>
      <c r="H146" s="45"/>
      <c r="I146" s="45"/>
      <c r="J146" s="47"/>
      <c r="K146" s="47"/>
    </row>
    <row r="147" spans="1:11" x14ac:dyDescent="0.45">
      <c r="A147" s="62" t="str">
        <f>Arbejdsark!$A$492</f>
        <v>Koncepter</v>
      </c>
      <c r="B147" s="328">
        <v>3</v>
      </c>
      <c r="C147" s="62"/>
      <c r="D147" s="62"/>
      <c r="E147" s="62"/>
      <c r="F147" s="62"/>
      <c r="G147" s="62"/>
      <c r="H147" s="62"/>
      <c r="I147" s="63" t="str">
        <f>IF('Sortering af spørgsmål'!$C$28=Projektforudsætninger!$C$22,"Udfyld spørgsmål","Ingen spørgsmål")</f>
        <v>Ingen spørgsmål</v>
      </c>
      <c r="J147" s="64"/>
      <c r="K147" s="64"/>
    </row>
    <row r="148" spans="1:11" ht="85.15" customHeight="1" x14ac:dyDescent="0.45">
      <c r="A148" s="45" t="str">
        <f>Arbejdsark!$A$492</f>
        <v>Koncepter</v>
      </c>
      <c r="B148" s="327" t="str">
        <f>Arbejdsark!$B$492</f>
        <v>3.1</v>
      </c>
      <c r="C148" s="45" t="str">
        <f>IF('Sortering af spørgsmål'!$C$28=Projektforudsætninger!$C$22,Arbejdsark!C492,"")</f>
        <v/>
      </c>
      <c r="D148" s="46">
        <f>Arbejdsark!D152</f>
        <v>0</v>
      </c>
      <c r="E148" s="45">
        <f>Arbejdsark!I152</f>
        <v>0</v>
      </c>
      <c r="F148" s="45">
        <f>Arbejdsark!J152</f>
        <v>0</v>
      </c>
      <c r="G148" s="45" t="e">
        <f>Arbejdsark!#REF!</f>
        <v>#REF!</v>
      </c>
      <c r="H148" s="45" t="e">
        <f>Arbejdsark!#REF!</f>
        <v>#REF!</v>
      </c>
      <c r="I148" s="45" t="str">
        <f>IF('Sortering af spørgsmål'!$C$28=Projektforudsætninger!$C$22,Arbejdsark!K492,"")</f>
        <v/>
      </c>
      <c r="J148" s="41" t="s">
        <v>9</v>
      </c>
      <c r="K148" s="41"/>
    </row>
    <row r="149" spans="1:11" x14ac:dyDescent="0.45">
      <c r="A149" s="45"/>
      <c r="B149" s="319"/>
      <c r="C149" s="45"/>
      <c r="D149" s="46"/>
      <c r="E149" s="45"/>
      <c r="F149" s="45"/>
      <c r="G149" s="45"/>
      <c r="H149" s="45"/>
      <c r="I149" s="45"/>
      <c r="J149" s="47"/>
      <c r="K149" s="47"/>
    </row>
    <row r="150" spans="1:11" x14ac:dyDescent="0.45">
      <c r="A150" s="62" t="str">
        <f>Arbejdsark!$A$497</f>
        <v>Entrepriseudbud</v>
      </c>
      <c r="B150" s="328">
        <v>4</v>
      </c>
      <c r="C150" s="62"/>
      <c r="D150" s="62"/>
      <c r="E150" s="62"/>
      <c r="F150" s="62"/>
      <c r="G150" s="62"/>
      <c r="H150" s="62"/>
      <c r="I150" s="63" t="str">
        <f>IF('Sortering af spørgsmål'!$C$29=Projektforudsætninger!$C$22,"Udfyld spørgsmål","Ingen spørgsmål")</f>
        <v>Ingen spørgsmål</v>
      </c>
      <c r="J150" s="64"/>
      <c r="K150" s="64"/>
    </row>
    <row r="151" spans="1:11" ht="85.15" customHeight="1" x14ac:dyDescent="0.45">
      <c r="A151" s="45" t="str">
        <f>Arbejdsark!$A$497</f>
        <v>Entrepriseudbud</v>
      </c>
      <c r="B151" s="327" t="str">
        <f>Arbejdsark!$B$497</f>
        <v>4.1</v>
      </c>
      <c r="C151" s="45" t="str">
        <f>IF('Sortering af spørgsmål'!$C$29=Projektforudsætninger!$C$22,Arbejdsark!C497,"")</f>
        <v/>
      </c>
      <c r="D151" s="46">
        <f>Arbejdsark!D157</f>
        <v>0</v>
      </c>
      <c r="E151" s="45">
        <f>Arbejdsark!I157</f>
        <v>0</v>
      </c>
      <c r="F151" s="45">
        <f>Arbejdsark!J157</f>
        <v>0</v>
      </c>
      <c r="G151" s="45" t="e">
        <f>Arbejdsark!#REF!</f>
        <v>#REF!</v>
      </c>
      <c r="H151" s="45" t="e">
        <f>Arbejdsark!#REF!</f>
        <v>#REF!</v>
      </c>
      <c r="I151" s="45" t="str">
        <f>IF('Sortering af spørgsmål'!$C$29=Projektforudsætninger!$C$22,Arbejdsark!K497,"")</f>
        <v/>
      </c>
      <c r="J151" s="41" t="s">
        <v>9</v>
      </c>
      <c r="K151" s="41"/>
    </row>
    <row r="152" spans="1:11" x14ac:dyDescent="0.45">
      <c r="A152" s="45"/>
      <c r="B152" s="319"/>
      <c r="C152" s="45"/>
      <c r="D152" s="46"/>
      <c r="E152" s="45"/>
      <c r="F152" s="45"/>
      <c r="G152" s="45"/>
      <c r="H152" s="45"/>
      <c r="I152" s="45"/>
      <c r="J152" s="47"/>
      <c r="K152" s="47"/>
    </row>
    <row r="153" spans="1:11" ht="28.5" x14ac:dyDescent="0.45">
      <c r="A153" s="62" t="str">
        <f>Arbejdsark!$A$502</f>
        <v>Kvalitet af aflevering til driftspersonale</v>
      </c>
      <c r="B153" s="328">
        <v>5</v>
      </c>
      <c r="C153" s="62"/>
      <c r="D153" s="62"/>
      <c r="E153" s="62"/>
      <c r="F153" s="62"/>
      <c r="G153" s="62"/>
      <c r="H153" s="62"/>
      <c r="I153" s="63" t="str">
        <f>IF('Sortering af spørgsmål'!$C$30=Projektforudsætninger!$C$22,"Udfyld spørgsmål","Ingen spørgsmål")</f>
        <v>Ingen spørgsmål</v>
      </c>
      <c r="J153" s="64"/>
      <c r="K153" s="64"/>
    </row>
    <row r="154" spans="1:11" ht="28.5" customHeight="1" x14ac:dyDescent="0.45">
      <c r="A154" s="45" t="str">
        <f>Arbejdsark!$A$502</f>
        <v>Kvalitet af aflevering til driftspersonale</v>
      </c>
      <c r="B154" s="327" t="str">
        <f>Arbejdsark!$B$502</f>
        <v>5.1</v>
      </c>
      <c r="C154" s="45" t="str">
        <f>IF('Sortering af spørgsmål'!$C$30=Projektforudsætninger!$C$22,Arbejdsark!C502,"")</f>
        <v/>
      </c>
      <c r="D154" s="46">
        <f>Arbejdsark!D160</f>
        <v>0</v>
      </c>
      <c r="E154" s="45">
        <f>Arbejdsark!I160</f>
        <v>0</v>
      </c>
      <c r="F154" s="45">
        <f>Arbejdsark!J160</f>
        <v>0</v>
      </c>
      <c r="G154" s="45" t="e">
        <f>Arbejdsark!#REF!</f>
        <v>#REF!</v>
      </c>
      <c r="H154" s="45" t="e">
        <f>Arbejdsark!#REF!</f>
        <v>#REF!</v>
      </c>
      <c r="I154" s="45" t="str">
        <f>IF('Sortering af spørgsmål'!$C$30=Projektforudsætninger!$C$22,Arbejdsark!K502,"")</f>
        <v/>
      </c>
      <c r="J154" s="41" t="s">
        <v>9</v>
      </c>
      <c r="K154" s="41"/>
    </row>
    <row r="155" spans="1:11" ht="85.15" customHeight="1" x14ac:dyDescent="0.45">
      <c r="A155" s="45" t="str">
        <f>Arbejdsark!$A$502</f>
        <v>Kvalitet af aflevering til driftspersonale</v>
      </c>
      <c r="B155" s="327" t="str">
        <f>Arbejdsark!$B$507</f>
        <v>5.2</v>
      </c>
      <c r="C155" s="45" t="str">
        <f>IF('Sortering af spørgsmål'!$C$30=Projektforudsætninger!$C$22,Arbejdsark!C507,"")</f>
        <v/>
      </c>
      <c r="D155" s="46">
        <f>Arbejdsark!D161</f>
        <v>0</v>
      </c>
      <c r="E155" s="45">
        <f>Arbejdsark!I161</f>
        <v>0</v>
      </c>
      <c r="F155" s="45">
        <f>Arbejdsark!J161</f>
        <v>0</v>
      </c>
      <c r="G155" s="45" t="e">
        <f>Arbejdsark!#REF!</f>
        <v>#REF!</v>
      </c>
      <c r="H155" s="45" t="e">
        <f>Arbejdsark!#REF!</f>
        <v>#REF!</v>
      </c>
      <c r="I155" s="45" t="str">
        <f>IF('Sortering af spørgsmål'!$C$30=Projektforudsætninger!$C$22,Arbejdsark!K507,"")</f>
        <v/>
      </c>
      <c r="J155" s="41" t="s">
        <v>9</v>
      </c>
      <c r="K155" s="41"/>
    </row>
    <row r="156" spans="1:11" ht="127.5" customHeight="1" x14ac:dyDescent="0.45">
      <c r="A156" s="45" t="str">
        <f>Arbejdsark!$A$502</f>
        <v>Kvalitet af aflevering til driftspersonale</v>
      </c>
      <c r="B156" s="327" t="str">
        <f>Arbejdsark!$B$512</f>
        <v>5.3</v>
      </c>
      <c r="C156" s="45" t="str">
        <f>IF('Sortering af spørgsmål'!$C$30=Projektforudsætninger!$C$22,Arbejdsark!C512,"")</f>
        <v/>
      </c>
      <c r="D156" s="46">
        <f>Arbejdsark!D162</f>
        <v>0</v>
      </c>
      <c r="E156" s="45">
        <f>Arbejdsark!I162</f>
        <v>0</v>
      </c>
      <c r="F156" s="45">
        <f>Arbejdsark!J162</f>
        <v>0</v>
      </c>
      <c r="G156" s="45" t="e">
        <f>Arbejdsark!#REF!</f>
        <v>#REF!</v>
      </c>
      <c r="H156" s="45" t="e">
        <f>Arbejdsark!#REF!</f>
        <v>#REF!</v>
      </c>
      <c r="I156" s="45" t="str">
        <f>IF('Sortering af spørgsmål'!$C$30=Projektforudsætninger!$C$22,Arbejdsark!K512,"")</f>
        <v/>
      </c>
      <c r="J156" s="41" t="s">
        <v>9</v>
      </c>
      <c r="K156" s="41"/>
    </row>
    <row r="157" spans="1:11" x14ac:dyDescent="0.45">
      <c r="A157" s="45"/>
      <c r="B157" s="319"/>
      <c r="C157" s="45"/>
      <c r="D157" s="46"/>
      <c r="E157" s="45"/>
      <c r="F157" s="45"/>
      <c r="G157" s="45"/>
      <c r="H157" s="45"/>
      <c r="I157" s="45"/>
      <c r="J157" s="47"/>
      <c r="K157" s="47"/>
    </row>
    <row r="158" spans="1:11" ht="85.15" customHeight="1" x14ac:dyDescent="0.45">
      <c r="A158" s="63" t="str">
        <f>Arbejdsark!$A$517</f>
        <v>Byggeplads</v>
      </c>
      <c r="B158" s="328">
        <v>6</v>
      </c>
      <c r="C158" s="63"/>
      <c r="D158" s="63"/>
      <c r="E158" s="63"/>
      <c r="F158" s="63"/>
      <c r="G158" s="63"/>
      <c r="H158" s="63"/>
      <c r="I158" s="63" t="str">
        <f>IF('Sortering af spørgsmål'!$C$31=Projektforudsætninger!$C$22,"Udfyld spørgsmål","Ingen spørgsmål")</f>
        <v>Ingen spørgsmål</v>
      </c>
      <c r="J158" s="64"/>
      <c r="K158" s="64"/>
    </row>
    <row r="159" spans="1:11" ht="113.65" customHeight="1" x14ac:dyDescent="0.45">
      <c r="A159" s="45" t="str">
        <f>Arbejdsark!$A$517</f>
        <v>Byggeplads</v>
      </c>
      <c r="B159" s="327" t="str">
        <f>Arbejdsark!$B$517</f>
        <v>6.1</v>
      </c>
      <c r="C159" s="45" t="str">
        <f>IF('Sortering af spørgsmål'!$C$31=Projektforudsætninger!$C$22,Arbejdsark!C517,"")</f>
        <v/>
      </c>
      <c r="D159" s="46">
        <f>Arbejdsark!D163</f>
        <v>0</v>
      </c>
      <c r="E159" s="45">
        <f>Arbejdsark!I163</f>
        <v>0</v>
      </c>
      <c r="F159" s="45">
        <f>Arbejdsark!J163</f>
        <v>0</v>
      </c>
      <c r="G159" s="45" t="e">
        <f>Arbejdsark!#REF!</f>
        <v>#REF!</v>
      </c>
      <c r="H159" s="45" t="e">
        <f>Arbejdsark!#REF!</f>
        <v>#REF!</v>
      </c>
      <c r="I159" s="45" t="str">
        <f>IF('Sortering af spørgsmål'!$C$31=Projektforudsætninger!$C$22,Arbejdsark!K517,"")</f>
        <v/>
      </c>
      <c r="J159" s="41" t="s">
        <v>9</v>
      </c>
      <c r="K159" s="41"/>
    </row>
    <row r="160" spans="1:11" ht="113.65" customHeight="1" x14ac:dyDescent="0.45">
      <c r="A160" s="45" t="str">
        <f>Arbejdsark!$A$517</f>
        <v>Byggeplads</v>
      </c>
      <c r="B160" s="327" t="str">
        <f>Arbejdsark!$B$522</f>
        <v>6.2</v>
      </c>
      <c r="C160" s="45" t="str">
        <f>IF('Sortering af spørgsmål'!$C$31=Projektforudsætninger!$C$22,Arbejdsark!C522,"")</f>
        <v/>
      </c>
      <c r="D160" s="46" t="e">
        <f>Arbejdsark!#REF!</f>
        <v>#REF!</v>
      </c>
      <c r="E160" s="45" t="e">
        <f>Arbejdsark!#REF!</f>
        <v>#REF!</v>
      </c>
      <c r="F160" s="45" t="e">
        <f>Arbejdsark!#REF!</f>
        <v>#REF!</v>
      </c>
      <c r="G160" s="45" t="e">
        <f>Arbejdsark!#REF!</f>
        <v>#REF!</v>
      </c>
      <c r="H160" s="45" t="e">
        <f>Arbejdsark!#REF!</f>
        <v>#REF!</v>
      </c>
      <c r="I160" s="45" t="str">
        <f>IF('Sortering af spørgsmål'!$C$31=Projektforudsætninger!$C$22,Arbejdsark!K522,"")</f>
        <v/>
      </c>
      <c r="J160" s="41" t="s">
        <v>9</v>
      </c>
      <c r="K160" s="41"/>
    </row>
    <row r="161" spans="1:11" ht="113.65" customHeight="1" x14ac:dyDescent="0.45">
      <c r="A161" s="45" t="str">
        <f>Arbejdsark!$A$517</f>
        <v>Byggeplads</v>
      </c>
      <c r="B161" s="327" t="str">
        <f>Arbejdsark!$B$527</f>
        <v>6.3</v>
      </c>
      <c r="C161" s="45" t="str">
        <f>IF('Sortering af spørgsmål'!$C$31=Projektforudsætninger!$C$22,Arbejdsark!C527,"")</f>
        <v/>
      </c>
      <c r="D161" s="46" t="e">
        <f>Arbejdsark!#REF!</f>
        <v>#REF!</v>
      </c>
      <c r="E161" s="45" t="e">
        <f>Arbejdsark!#REF!</f>
        <v>#REF!</v>
      </c>
      <c r="F161" s="45" t="e">
        <f>Arbejdsark!#REF!</f>
        <v>#REF!</v>
      </c>
      <c r="G161" s="45" t="e">
        <f>Arbejdsark!#REF!</f>
        <v>#REF!</v>
      </c>
      <c r="H161" s="45" t="e">
        <f>Arbejdsark!#REF!</f>
        <v>#REF!</v>
      </c>
      <c r="I161" s="45" t="str">
        <f>IF('Sortering af spørgsmål'!$C$31=Projektforudsætninger!$C$22,Arbejdsark!K527,"")</f>
        <v/>
      </c>
      <c r="J161" s="41" t="s">
        <v>9</v>
      </c>
      <c r="K161" s="41"/>
    </row>
    <row r="162" spans="1:11" x14ac:dyDescent="0.45">
      <c r="A162" s="45" t="str">
        <f>Arbejdsark!$A$517</f>
        <v>Byggeplads</v>
      </c>
      <c r="B162" s="327" t="str">
        <f>Arbejdsark!$B$532</f>
        <v>6.4</v>
      </c>
      <c r="C162" s="45" t="str">
        <f>IF('Sortering af spørgsmål'!$C$31=Projektforudsætninger!$C$22,Arbejdsark!C532,"")</f>
        <v/>
      </c>
      <c r="D162" s="46" t="e">
        <f>Arbejdsark!#REF!</f>
        <v>#REF!</v>
      </c>
      <c r="E162" s="45" t="e">
        <f>Arbejdsark!#REF!</f>
        <v>#REF!</v>
      </c>
      <c r="F162" s="45" t="e">
        <f>Arbejdsark!#REF!</f>
        <v>#REF!</v>
      </c>
      <c r="G162" s="45" t="e">
        <f>Arbejdsark!#REF!</f>
        <v>#REF!</v>
      </c>
      <c r="H162" s="45" t="e">
        <f>Arbejdsark!#REF!</f>
        <v>#REF!</v>
      </c>
      <c r="I162" s="45" t="str">
        <f>IF('Sortering af spørgsmål'!$C$31=Projektforudsætninger!$C$22,Arbejdsark!K532,"")</f>
        <v/>
      </c>
      <c r="J162" s="41" t="s">
        <v>9</v>
      </c>
      <c r="K162" s="41"/>
    </row>
    <row r="163" spans="1:11" ht="28.5" customHeight="1" x14ac:dyDescent="0.45">
      <c r="A163" s="45" t="str">
        <f>Arbejdsark!$A$517</f>
        <v>Byggeplads</v>
      </c>
      <c r="B163" s="327" t="str">
        <f>Arbejdsark!$B$537</f>
        <v>6.5</v>
      </c>
      <c r="C163" s="45" t="str">
        <f>IF('Sortering af spørgsmål'!$C$31=Projektforudsætninger!$C$22,Arbejdsark!C537,"")</f>
        <v/>
      </c>
      <c r="D163" s="46" t="e">
        <f>Arbejdsark!#REF!</f>
        <v>#REF!</v>
      </c>
      <c r="E163" s="45" t="e">
        <f>Arbejdsark!#REF!</f>
        <v>#REF!</v>
      </c>
      <c r="F163" s="45" t="e">
        <f>Arbejdsark!#REF!</f>
        <v>#REF!</v>
      </c>
      <c r="G163" s="45" t="e">
        <f>Arbejdsark!#REF!</f>
        <v>#REF!</v>
      </c>
      <c r="H163" s="45" t="e">
        <f>Arbejdsark!#REF!</f>
        <v>#REF!</v>
      </c>
      <c r="I163" s="45" t="str">
        <f>IF('Sortering af spørgsmål'!$C$31=Projektforudsætninger!$C$22,Arbejdsark!K537,"")</f>
        <v/>
      </c>
      <c r="J163" s="41" t="s">
        <v>9</v>
      </c>
      <c r="K163" s="41"/>
    </row>
    <row r="164" spans="1:11" ht="141.75" customHeight="1" x14ac:dyDescent="0.45">
      <c r="A164" s="45" t="str">
        <f>Arbejdsark!$A$517</f>
        <v>Byggeplads</v>
      </c>
      <c r="B164" s="327" t="str">
        <f>Arbejdsark!$B$542</f>
        <v>6.6</v>
      </c>
      <c r="C164" s="45" t="str">
        <f>IF('Sortering af spørgsmål'!$C$31=Projektforudsætninger!$C$22,Arbejdsark!C542,"")</f>
        <v/>
      </c>
      <c r="D164" s="46" t="e">
        <f>Arbejdsark!#REF!</f>
        <v>#REF!</v>
      </c>
      <c r="E164" s="45" t="e">
        <f>Arbejdsark!#REF!</f>
        <v>#REF!</v>
      </c>
      <c r="F164" s="45" t="e">
        <f>Arbejdsark!#REF!</f>
        <v>#REF!</v>
      </c>
      <c r="G164" s="45" t="e">
        <f>Arbejdsark!#REF!</f>
        <v>#REF!</v>
      </c>
      <c r="H164" s="45" t="e">
        <f>Arbejdsark!#REF!</f>
        <v>#REF!</v>
      </c>
      <c r="I164" s="45" t="str">
        <f>IF('Sortering af spørgsmål'!$C$31=Projektforudsætninger!$C$22,Arbejdsark!K542,"")</f>
        <v/>
      </c>
      <c r="J164" s="41" t="s">
        <v>9</v>
      </c>
      <c r="K164" s="41"/>
    </row>
    <row r="165" spans="1:11" x14ac:dyDescent="0.45">
      <c r="A165" s="45"/>
      <c r="B165" s="319"/>
      <c r="C165" s="45"/>
      <c r="D165" s="46"/>
      <c r="E165" s="45"/>
      <c r="F165" s="45"/>
      <c r="G165" s="45"/>
      <c r="H165" s="45"/>
      <c r="I165" s="45"/>
      <c r="J165" s="47"/>
      <c r="K165" s="47"/>
    </row>
    <row r="166" spans="1:11" x14ac:dyDescent="0.45">
      <c r="A166" s="62" t="str">
        <f>Arbejdsark!$A$548</f>
        <v>Eftervisende dokumentation</v>
      </c>
      <c r="B166" s="328">
        <v>7</v>
      </c>
      <c r="C166" s="62"/>
      <c r="D166" s="62"/>
      <c r="E166" s="62"/>
      <c r="F166" s="62"/>
      <c r="G166" s="62"/>
      <c r="H166" s="62"/>
      <c r="I166" s="63" t="str">
        <f>IF('Sortering af spørgsmål'!$C$32=Projektforudsætninger!$C$22,"Udfyld spørgsmål","Ingen spørgsmål")</f>
        <v>Ingen spørgsmål</v>
      </c>
      <c r="J166" s="64"/>
      <c r="K166" s="64"/>
    </row>
    <row r="167" spans="1:11" ht="113.65" customHeight="1" x14ac:dyDescent="0.45">
      <c r="A167" s="45" t="str">
        <f>Arbejdsark!$A$548</f>
        <v>Eftervisende dokumentation</v>
      </c>
      <c r="B167" s="327" t="str">
        <f>Arbejdsark!$B$548</f>
        <v>7.1</v>
      </c>
      <c r="C167" s="45" t="str">
        <f>IF('Sortering af spørgsmål'!$C$32=Projektforudsætninger!$C$22,Arbejdsark!C548,"")</f>
        <v/>
      </c>
      <c r="D167" s="46" t="e">
        <f>Arbejdsark!#REF!</f>
        <v>#REF!</v>
      </c>
      <c r="E167" s="45" t="e">
        <f>Arbejdsark!#REF!</f>
        <v>#REF!</v>
      </c>
      <c r="F167" s="45" t="e">
        <f>Arbejdsark!#REF!</f>
        <v>#REF!</v>
      </c>
      <c r="G167" s="45" t="e">
        <f>Arbejdsark!#REF!</f>
        <v>#REF!</v>
      </c>
      <c r="H167" s="45" t="e">
        <f>Arbejdsark!#REF!</f>
        <v>#REF!</v>
      </c>
      <c r="I167" s="45" t="str">
        <f>IF('Sortering af spørgsmål'!$C$32=Projektforudsætninger!$C$22,Arbejdsark!K548,"")</f>
        <v/>
      </c>
      <c r="J167" s="41" t="s">
        <v>9</v>
      </c>
      <c r="K167" s="41"/>
    </row>
    <row r="168" spans="1:11" ht="113.65" customHeight="1" x14ac:dyDescent="0.45">
      <c r="A168" s="45" t="str">
        <f>Arbejdsark!$A$548</f>
        <v>Eftervisende dokumentation</v>
      </c>
      <c r="B168" s="327" t="str">
        <f>Arbejdsark!$B$553</f>
        <v>7.2</v>
      </c>
      <c r="C168" s="45" t="str">
        <f>IF('Sortering af spørgsmål'!$C$32=Projektforudsætninger!$C$22,Arbejdsark!C553,"")</f>
        <v/>
      </c>
      <c r="D168" s="46" t="e">
        <f>Arbejdsark!#REF!</f>
        <v>#REF!</v>
      </c>
      <c r="E168" s="45" t="e">
        <f>Arbejdsark!#REF!</f>
        <v>#REF!</v>
      </c>
      <c r="F168" s="45" t="e">
        <f>Arbejdsark!#REF!</f>
        <v>#REF!</v>
      </c>
      <c r="G168" s="45" t="e">
        <f>Arbejdsark!#REF!</f>
        <v>#REF!</v>
      </c>
      <c r="H168" s="45" t="e">
        <f>Arbejdsark!#REF!</f>
        <v>#REF!</v>
      </c>
      <c r="I168" s="45" t="str">
        <f>IF('Sortering af spørgsmål'!$C$32=Projektforudsætninger!$C$22,Arbejdsark!K553,"")</f>
        <v/>
      </c>
      <c r="J168" s="41" t="s">
        <v>9</v>
      </c>
      <c r="K168" s="41"/>
    </row>
    <row r="169" spans="1:11" ht="113.65" customHeight="1" x14ac:dyDescent="0.45">
      <c r="A169" s="45" t="str">
        <f>Arbejdsark!$A$548</f>
        <v>Eftervisende dokumentation</v>
      </c>
      <c r="B169" s="327" t="str">
        <f>Arbejdsark!$B$558</f>
        <v>7.3</v>
      </c>
      <c r="C169" s="45" t="str">
        <f>IF('Sortering af spørgsmål'!$C$32=Projektforudsætninger!$C$22,Arbejdsark!C558,"")</f>
        <v/>
      </c>
      <c r="D169" s="46" t="e">
        <f>Arbejdsark!#REF!</f>
        <v>#REF!</v>
      </c>
      <c r="E169" s="45" t="e">
        <f>Arbejdsark!#REF!</f>
        <v>#REF!</v>
      </c>
      <c r="F169" s="45" t="e">
        <f>Arbejdsark!#REF!</f>
        <v>#REF!</v>
      </c>
      <c r="G169" s="45" t="e">
        <f>Arbejdsark!#REF!</f>
        <v>#REF!</v>
      </c>
      <c r="H169" s="45" t="e">
        <f>Arbejdsark!#REF!</f>
        <v>#REF!</v>
      </c>
      <c r="I169" s="45" t="str">
        <f>IF('Sortering af spørgsmål'!$C$32=Projektforudsætninger!$C$22,Arbejdsark!K558,"")</f>
        <v/>
      </c>
      <c r="J169" s="41" t="s">
        <v>9</v>
      </c>
      <c r="K169" s="41"/>
    </row>
    <row r="170" spans="1:11" x14ac:dyDescent="0.45">
      <c r="A170" s="45" t="str">
        <f>Arbejdsark!$A$548</f>
        <v>Eftervisende dokumentation</v>
      </c>
      <c r="B170" s="327" t="str">
        <f>Arbejdsark!$B$563</f>
        <v>7.4</v>
      </c>
      <c r="C170" s="45" t="str">
        <f>IF('Sortering af spørgsmål'!$C$32=Projektforudsætninger!$C$22,Arbejdsark!C563,"")</f>
        <v/>
      </c>
      <c r="D170" s="46" t="e">
        <f>Arbejdsark!#REF!</f>
        <v>#REF!</v>
      </c>
      <c r="E170" s="45" t="e">
        <f>Arbejdsark!#REF!</f>
        <v>#REF!</v>
      </c>
      <c r="F170" s="45" t="e">
        <f>Arbejdsark!#REF!</f>
        <v>#REF!</v>
      </c>
      <c r="G170" s="45" t="e">
        <f>Arbejdsark!#REF!</f>
        <v>#REF!</v>
      </c>
      <c r="H170" s="45" t="e">
        <f>Arbejdsark!#REF!</f>
        <v>#REF!</v>
      </c>
      <c r="I170" s="45" t="str">
        <f>IF('Sortering af spørgsmål'!$C$32=Projektforudsætninger!$C$22,Arbejdsark!K563,"")</f>
        <v/>
      </c>
      <c r="J170" s="41" t="s">
        <v>9</v>
      </c>
      <c r="K170" s="41"/>
    </row>
    <row r="171" spans="1:11" ht="42.6" customHeight="1" x14ac:dyDescent="0.45">
      <c r="A171" s="45" t="str">
        <f>Arbejdsark!$A$548</f>
        <v>Eftervisende dokumentation</v>
      </c>
      <c r="B171" s="327" t="str">
        <f>Arbejdsark!$B$572</f>
        <v>7.5</v>
      </c>
      <c r="C171" s="45" t="str">
        <f>IF('Sortering af spørgsmål'!$C$32=Projektforudsætninger!$C$22,Arbejdsark!$C$572,"")</f>
        <v/>
      </c>
      <c r="D171" s="46"/>
      <c r="E171" s="45"/>
      <c r="F171" s="45"/>
      <c r="G171" s="45"/>
      <c r="H171" s="45"/>
      <c r="I171" s="45" t="str">
        <f>IF('Sortering af spørgsmål'!$C$32=Projektforudsætninger!$C$22,Arbejdsark!$K$572,"")</f>
        <v/>
      </c>
      <c r="J171" s="37" t="s">
        <v>9</v>
      </c>
      <c r="K171" s="41"/>
    </row>
    <row r="172" spans="1:11" x14ac:dyDescent="0.45">
      <c r="A172" s="136"/>
      <c r="B172" s="320"/>
      <c r="C172" s="136"/>
      <c r="D172" s="305"/>
      <c r="E172" s="136"/>
      <c r="F172" s="136"/>
      <c r="G172" s="136"/>
      <c r="H172" s="136"/>
      <c r="I172" s="136"/>
      <c r="J172" s="136"/>
      <c r="K172" s="136"/>
    </row>
    <row r="173" spans="1:11" ht="113.65" customHeight="1" x14ac:dyDescent="0.45">
      <c r="A173" s="324"/>
      <c r="B173" s="325"/>
      <c r="C173" s="324"/>
      <c r="D173" s="326"/>
      <c r="E173" s="324"/>
      <c r="F173" s="324"/>
      <c r="G173" s="324"/>
      <c r="H173" s="324"/>
      <c r="I173" s="324"/>
      <c r="J173" s="324"/>
      <c r="K173" s="324"/>
    </row>
    <row r="174" spans="1:11" ht="113.65" customHeight="1" x14ac:dyDescent="0.45"/>
    <row r="175" spans="1:11" ht="170.25" customHeight="1" x14ac:dyDescent="0.45"/>
    <row r="177" ht="28.5" customHeight="1" x14ac:dyDescent="0.45"/>
    <row r="178" ht="141.75" customHeight="1" x14ac:dyDescent="0.45"/>
  </sheetData>
  <sheetProtection sheet="1" selectLockedCells="1"/>
  <mergeCells count="2">
    <mergeCell ref="A2:L2"/>
    <mergeCell ref="B1:I1"/>
  </mergeCells>
  <dataValidations count="3">
    <dataValidation type="list" allowBlank="1" showInputMessage="1" showErrorMessage="1" sqref="J70 J65" xr:uid="{00000000-0002-0000-0700-000000000000}">
      <formula1>$AE$1:$AE$5</formula1>
    </dataValidation>
    <dataValidation type="list" allowBlank="1" showInputMessage="1" showErrorMessage="1" sqref="J6:J9 J133 J167:J170 J159:J164 J154:J156 J151 J148 J141:J145 J138 J86:J87 J117:J123 J126:J131 J94:J108 J90:J91 J77:J78 J68:J69 J56:J64 J50:J51 J40:J47 J36:J37 J30:J31 J27 J21:J24 J16:J18 J12:J13 J73:J74 J81:J83 J113:J114" xr:uid="{00000000-0002-0000-0700-000001000000}">
      <formula1>$AI$2:$AI$5</formula1>
    </dataValidation>
    <dataValidation type="list" allowBlank="1" showInputMessage="1" showErrorMessage="1" sqref="J171" xr:uid="{00000000-0002-0000-0700-000002000000}">
      <formula1>$AH$3:$AH$6</formula1>
    </dataValidation>
  </dataValidations>
  <pageMargins left="0.23622047244094491" right="0.23622047244094491" top="0.74803149606299213" bottom="0.74803149606299213" header="0.31496062992125984" footer="0.31496062992125984"/>
  <pageSetup paperSize="8" scale="45" fitToHeight="0" orientation="portrait" r:id="rId1"/>
  <headerFooter>
    <oddHeader>&amp;C&amp;9&amp;A</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Arbejdsark!$L$5:$L$7</xm:f>
          </x14:formula1>
          <xm:sqref>J5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3">
    <tabColor rgb="FF00B0F0"/>
    <pageSetUpPr fitToPage="1"/>
  </sheetPr>
  <dimension ref="A1:AH173"/>
  <sheetViews>
    <sheetView view="pageLayout" zoomScale="90" zoomScaleNormal="87" zoomScalePageLayoutView="90" workbookViewId="0">
      <selection activeCell="J6" sqref="J6"/>
    </sheetView>
  </sheetViews>
  <sheetFormatPr defaultColWidth="8.59765625" defaultRowHeight="14.25" x14ac:dyDescent="0.45"/>
  <cols>
    <col min="1" max="1" width="25.265625" style="30" customWidth="1"/>
    <col min="2" max="2" width="4.265625" style="30" customWidth="1"/>
    <col min="3" max="3" width="11.73046875" style="30" customWidth="1"/>
    <col min="4" max="4" width="37.265625" style="30" hidden="1" customWidth="1"/>
    <col min="5" max="8" width="8.73046875" style="30" hidden="1" customWidth="1"/>
    <col min="9" max="9" width="32.73046875" style="30" customWidth="1"/>
    <col min="10" max="10" width="14.265625" style="30" customWidth="1"/>
    <col min="11" max="11" width="26.73046875" style="30" customWidth="1"/>
    <col min="12" max="20" width="8.73046875" style="30" hidden="1" customWidth="1"/>
    <col min="21" max="21" width="7.3984375" style="30" hidden="1" customWidth="1"/>
    <col min="22" max="22" width="8.73046875" style="30" customWidth="1"/>
    <col min="23" max="29" width="8.59765625" style="30"/>
    <col min="30" max="32" width="8.73046875" style="30" hidden="1" customWidth="1"/>
    <col min="33" max="34" width="8.59765625" style="30" hidden="1" customWidth="1"/>
    <col min="35" max="16384" width="8.59765625" style="30"/>
  </cols>
  <sheetData>
    <row r="1" spans="1:34" ht="28.5" x14ac:dyDescent="0.45">
      <c r="A1" s="296" t="s">
        <v>188</v>
      </c>
      <c r="B1" s="795" t="str">
        <f>Projektforudsætninger!C23</f>
        <v>-4-</v>
      </c>
      <c r="C1" s="795"/>
      <c r="D1" s="795"/>
      <c r="E1" s="795"/>
      <c r="F1" s="795"/>
      <c r="G1" s="795"/>
      <c r="H1" s="795"/>
      <c r="I1" s="19"/>
      <c r="J1" s="19"/>
      <c r="K1" s="19"/>
      <c r="L1" s="19"/>
      <c r="M1" s="19"/>
      <c r="N1" s="19"/>
      <c r="O1" s="19"/>
      <c r="P1" s="19"/>
      <c r="Q1" s="19"/>
      <c r="R1" s="19"/>
      <c r="S1" s="19"/>
      <c r="T1" s="19"/>
      <c r="U1" s="19"/>
      <c r="AD1" s="30" t="s">
        <v>9</v>
      </c>
    </row>
    <row r="2" spans="1:34" ht="50.25" customHeight="1" x14ac:dyDescent="0.45">
      <c r="A2" s="777" t="s">
        <v>194</v>
      </c>
      <c r="B2" s="777"/>
      <c r="C2" s="777"/>
      <c r="D2" s="777"/>
      <c r="E2" s="777"/>
      <c r="F2" s="777"/>
      <c r="G2" s="777"/>
      <c r="H2" s="777"/>
      <c r="I2" s="777"/>
      <c r="J2" s="777"/>
      <c r="K2" s="777"/>
      <c r="L2" s="19"/>
      <c r="M2" s="19"/>
      <c r="N2" s="19"/>
      <c r="O2" s="19"/>
      <c r="P2" s="19"/>
      <c r="Q2" s="19"/>
      <c r="R2" s="19"/>
      <c r="S2" s="19"/>
      <c r="T2" s="19"/>
      <c r="U2" s="19"/>
      <c r="AD2" s="294" t="s">
        <v>170</v>
      </c>
      <c r="AF2" s="31" t="s">
        <v>171</v>
      </c>
      <c r="AH2" s="30" t="s">
        <v>9</v>
      </c>
    </row>
    <row r="3" spans="1:34" ht="23.25" x14ac:dyDescent="0.45">
      <c r="A3" s="49" t="str">
        <f>Arbejdsark!A2</f>
        <v>MILJØ KVALITET</v>
      </c>
      <c r="B3" s="49"/>
      <c r="C3" s="261"/>
      <c r="D3" s="261"/>
      <c r="E3" s="262"/>
      <c r="F3" s="262"/>
      <c r="G3" s="262"/>
      <c r="H3" s="262"/>
      <c r="I3" s="262"/>
      <c r="J3" s="262"/>
      <c r="K3" s="262"/>
      <c r="L3" s="19"/>
      <c r="M3" s="19"/>
      <c r="N3" s="19"/>
      <c r="O3" s="19"/>
      <c r="P3" s="19"/>
      <c r="Q3" s="19"/>
      <c r="R3" s="19"/>
      <c r="S3" s="19"/>
      <c r="T3" s="19"/>
      <c r="U3" s="19"/>
      <c r="AD3" s="294" t="s">
        <v>498</v>
      </c>
      <c r="AF3" s="31" t="s">
        <v>173</v>
      </c>
      <c r="AH3" s="294" t="s">
        <v>498</v>
      </c>
    </row>
    <row r="4" spans="1:34" s="33" customFormat="1" ht="20.25" customHeight="1" x14ac:dyDescent="0.45">
      <c r="A4" s="67" t="s">
        <v>118</v>
      </c>
      <c r="B4" s="67" t="s">
        <v>179</v>
      </c>
      <c r="C4" s="67" t="s">
        <v>167</v>
      </c>
      <c r="D4" s="68" t="s">
        <v>63</v>
      </c>
      <c r="E4" s="67" t="s">
        <v>190</v>
      </c>
      <c r="F4" s="67" t="s">
        <v>19</v>
      </c>
      <c r="G4" s="67" t="s">
        <v>183</v>
      </c>
      <c r="H4" s="67" t="s">
        <v>191</v>
      </c>
      <c r="I4" s="137" t="s">
        <v>61</v>
      </c>
      <c r="J4" s="67" t="s">
        <v>62</v>
      </c>
      <c r="K4" s="67" t="s">
        <v>185</v>
      </c>
      <c r="L4" s="32"/>
      <c r="M4" s="32"/>
      <c r="N4" s="32"/>
      <c r="O4" s="32"/>
      <c r="P4" s="32"/>
      <c r="Q4" s="32"/>
      <c r="R4" s="32"/>
      <c r="S4" s="32"/>
      <c r="T4" s="32"/>
      <c r="U4" s="32"/>
      <c r="AD4" s="294" t="s">
        <v>499</v>
      </c>
      <c r="AE4" s="30"/>
      <c r="AF4" s="31" t="s">
        <v>12</v>
      </c>
      <c r="AH4" s="294" t="s">
        <v>499</v>
      </c>
    </row>
    <row r="5" spans="1:34" ht="28.5" customHeight="1" x14ac:dyDescent="0.45">
      <c r="A5" s="50" t="str">
        <f>Arbejdsark!$A$4</f>
        <v>Materialer</v>
      </c>
      <c r="B5" s="50">
        <v>1</v>
      </c>
      <c r="C5" s="50"/>
      <c r="D5" s="50"/>
      <c r="E5" s="50"/>
      <c r="F5" s="50"/>
      <c r="G5" s="50"/>
      <c r="H5" s="50"/>
      <c r="I5" s="50" t="str">
        <f>IF('Sortering af spørgsmål'!$C$6=Projektforudsætninger!$C$23,"Udfyld spørgsmål","Ingen spørgsmål")</f>
        <v>Ingen spørgsmål</v>
      </c>
      <c r="J5" s="50"/>
      <c r="K5" s="50"/>
      <c r="L5" s="26">
        <f>Arbejdsark!L4</f>
        <v>0</v>
      </c>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D5" s="294" t="s">
        <v>495</v>
      </c>
      <c r="AH5" s="294" t="s">
        <v>495</v>
      </c>
    </row>
    <row r="6" spans="1:34" ht="141.75" customHeight="1" x14ac:dyDescent="0.45">
      <c r="A6" s="148" t="str">
        <f>Arbejdsark!$A$4</f>
        <v>Materialer</v>
      </c>
      <c r="B6" s="43" t="str">
        <f>Arbejdsark!$B$4</f>
        <v>1.1</v>
      </c>
      <c r="C6" s="45" t="str">
        <f>IF('Sortering af spørgsmål'!C6=Projektforudsætninger!$C$23,Arbejdsark!C4,"")</f>
        <v/>
      </c>
      <c r="D6" s="46"/>
      <c r="E6" s="45"/>
      <c r="F6" s="45"/>
      <c r="G6" s="45"/>
      <c r="H6" s="45"/>
      <c r="I6" s="45" t="str">
        <f>IF('Sortering af spørgsmål'!C6=Projektforudsætninger!$C$23,Arbejdsark!K4,"")</f>
        <v/>
      </c>
      <c r="J6" s="41" t="s">
        <v>9</v>
      </c>
      <c r="K6" s="41"/>
      <c r="L6" s="19"/>
      <c r="M6" s="19"/>
      <c r="N6" s="19"/>
      <c r="O6" s="19"/>
      <c r="P6" s="19"/>
      <c r="Q6" s="19"/>
      <c r="R6" s="19"/>
      <c r="S6" s="19"/>
      <c r="T6" s="19"/>
      <c r="U6" s="19"/>
      <c r="AD6" s="294" t="s">
        <v>186</v>
      </c>
    </row>
    <row r="7" spans="1:34" ht="141.75" customHeight="1" x14ac:dyDescent="0.45">
      <c r="A7" s="148" t="str">
        <f>Arbejdsark!$A$4</f>
        <v>Materialer</v>
      </c>
      <c r="B7" s="43" t="str">
        <f>Arbejdsark!$B$10</f>
        <v>1.2</v>
      </c>
      <c r="C7" s="45" t="str">
        <f>IF('Sortering af spørgsmål'!C6=Projektforudsætninger!$C$23,Arbejdsark!C10,"")</f>
        <v/>
      </c>
      <c r="D7" s="46" t="str">
        <f>Arbejdsark!D10</f>
        <v>ENV1.2</v>
      </c>
      <c r="E7" s="45" t="str">
        <f>Arbejdsark!I10</f>
        <v>x</v>
      </c>
      <c r="F7" s="45">
        <f>Arbejdsark!J10</f>
        <v>0</v>
      </c>
      <c r="G7" s="45" t="e">
        <f>Arbejdsark!#REF!</f>
        <v>#REF!</v>
      </c>
      <c r="H7" s="45" t="e">
        <f>Arbejdsark!#REF!</f>
        <v>#REF!</v>
      </c>
      <c r="I7" s="45" t="str">
        <f>IF('Sortering af spørgsmål'!C6=Projektforudsætninger!$C$23,Arbejdsark!K10,"")</f>
        <v/>
      </c>
      <c r="J7" s="41" t="s">
        <v>9</v>
      </c>
      <c r="K7" s="41"/>
      <c r="L7" s="19"/>
      <c r="M7" s="19"/>
      <c r="N7" s="19"/>
      <c r="O7" s="19"/>
      <c r="P7" s="19"/>
      <c r="Q7" s="19"/>
      <c r="R7" s="19"/>
      <c r="S7" s="19"/>
      <c r="T7" s="19"/>
      <c r="U7" s="19"/>
    </row>
    <row r="8" spans="1:34" ht="184.5" customHeight="1" x14ac:dyDescent="0.45">
      <c r="A8" s="148" t="str">
        <f>Arbejdsark!$A$4</f>
        <v>Materialer</v>
      </c>
      <c r="B8" s="43" t="str">
        <f>Arbejdsark!$B$15</f>
        <v>1.3</v>
      </c>
      <c r="C8" s="45" t="str">
        <f>IF('Sortering af spørgsmål'!C6=Projektforudsætninger!$C$23,Arbejdsark!C15,"")</f>
        <v/>
      </c>
      <c r="D8" s="46">
        <f>Arbejdsark!D11</f>
        <v>0</v>
      </c>
      <c r="E8" s="45">
        <f>Arbejdsark!I11</f>
        <v>0</v>
      </c>
      <c r="F8" s="45">
        <f>Arbejdsark!J11</f>
        <v>0</v>
      </c>
      <c r="G8" s="45" t="e">
        <f>Arbejdsark!#REF!</f>
        <v>#REF!</v>
      </c>
      <c r="H8" s="45" t="e">
        <f>Arbejdsark!#REF!</f>
        <v>#REF!</v>
      </c>
      <c r="I8" s="45" t="str">
        <f>IF('Sortering af spørgsmål'!C6=Projektforudsætninger!$C$23,Arbejdsark!K15,"")</f>
        <v/>
      </c>
      <c r="J8" s="41" t="s">
        <v>9</v>
      </c>
      <c r="K8" s="41"/>
      <c r="L8" s="19"/>
      <c r="M8" s="19"/>
      <c r="N8" s="19"/>
      <c r="O8" s="19"/>
      <c r="P8" s="19"/>
      <c r="Q8" s="19"/>
      <c r="R8" s="19"/>
      <c r="S8" s="19"/>
      <c r="T8" s="19"/>
      <c r="U8" s="19"/>
    </row>
    <row r="9" spans="1:34" ht="198.4" customHeight="1" x14ac:dyDescent="0.45">
      <c r="A9" s="148" t="str">
        <f>Arbejdsark!$A$4</f>
        <v>Materialer</v>
      </c>
      <c r="B9" s="43" t="str">
        <f>Arbejdsark!$B$20</f>
        <v>1.4</v>
      </c>
      <c r="C9" s="45" t="str">
        <f>IF('Sortering af spørgsmål'!C6=Projektforudsætninger!$C$23,Arbejdsark!C20,"")</f>
        <v/>
      </c>
      <c r="D9" s="46">
        <f>Arbejdsark!D12</f>
        <v>0</v>
      </c>
      <c r="E9" s="45">
        <f>Arbejdsark!I12</f>
        <v>0</v>
      </c>
      <c r="F9" s="45">
        <f>Arbejdsark!J12</f>
        <v>0</v>
      </c>
      <c r="G9" s="45" t="e">
        <f>Arbejdsark!#REF!</f>
        <v>#REF!</v>
      </c>
      <c r="H9" s="45" t="e">
        <f>Arbejdsark!#REF!</f>
        <v>#REF!</v>
      </c>
      <c r="I9" s="45" t="str">
        <f>IF('Sortering af spørgsmål'!C6=Projektforudsætninger!$C$23,Arbejdsark!K20,"")</f>
        <v/>
      </c>
      <c r="J9" s="41" t="s">
        <v>9</v>
      </c>
      <c r="K9" s="41"/>
      <c r="L9" s="19"/>
      <c r="M9" s="19"/>
      <c r="N9" s="19"/>
      <c r="O9" s="19"/>
      <c r="P9" s="19"/>
      <c r="Q9" s="19"/>
      <c r="R9" s="19"/>
      <c r="S9" s="19"/>
      <c r="T9" s="19"/>
      <c r="U9" s="19"/>
      <c r="AD9" s="294" t="s">
        <v>10</v>
      </c>
      <c r="AF9" s="30">
        <v>1</v>
      </c>
    </row>
    <row r="10" spans="1:34" x14ac:dyDescent="0.45">
      <c r="A10" s="45"/>
      <c r="B10" s="38"/>
      <c r="C10" s="45"/>
      <c r="D10" s="46"/>
      <c r="E10" s="45"/>
      <c r="F10" s="45"/>
      <c r="G10" s="45"/>
      <c r="H10" s="45"/>
      <c r="I10" s="45"/>
      <c r="J10" s="47"/>
      <c r="K10" s="47"/>
      <c r="L10" s="19"/>
      <c r="M10" s="19"/>
      <c r="N10" s="19"/>
      <c r="O10" s="19"/>
      <c r="P10" s="19"/>
      <c r="Q10" s="19"/>
      <c r="R10" s="19"/>
      <c r="S10" s="19"/>
      <c r="T10" s="19"/>
      <c r="U10" s="19"/>
      <c r="AD10" s="294" t="s">
        <v>12</v>
      </c>
      <c r="AF10" s="30">
        <v>2</v>
      </c>
    </row>
    <row r="11" spans="1:34" ht="28.5" customHeight="1" x14ac:dyDescent="0.45">
      <c r="A11" s="50" t="str">
        <f>Arbejdsark!$A$25</f>
        <v>Energi</v>
      </c>
      <c r="B11" s="50">
        <v>2</v>
      </c>
      <c r="C11" s="50"/>
      <c r="D11" s="50"/>
      <c r="E11" s="50"/>
      <c r="F11" s="50"/>
      <c r="G11" s="50"/>
      <c r="H11" s="50"/>
      <c r="I11" s="50" t="str">
        <f>IF('Sortering af spørgsmål'!$C$7=Projektforudsætninger!$C$23,"Udfyld spørgsmål","Ingen spørgsmål")</f>
        <v>Ingen spørgsmål</v>
      </c>
      <c r="J11" s="51"/>
      <c r="K11" s="51"/>
      <c r="L11" s="19"/>
      <c r="M11" s="19"/>
      <c r="N11" s="19"/>
      <c r="O11" s="19"/>
      <c r="P11" s="19"/>
      <c r="Q11" s="19"/>
      <c r="R11" s="19"/>
      <c r="S11" s="19"/>
      <c r="T11" s="19"/>
      <c r="U11" s="19"/>
      <c r="AD11" s="294" t="s">
        <v>192</v>
      </c>
      <c r="AF11" s="30">
        <v>3</v>
      </c>
    </row>
    <row r="12" spans="1:34" ht="255.4" customHeight="1" x14ac:dyDescent="0.45">
      <c r="A12" s="45" t="str">
        <f>Arbejdsark!$A$25</f>
        <v>Energi</v>
      </c>
      <c r="B12" s="43" t="str">
        <f>Arbejdsark!$B$25</f>
        <v>2.1</v>
      </c>
      <c r="C12" s="45" t="str">
        <f>IF('Sortering af spørgsmål'!C7=Projektforudsætninger!$C$23,Arbejdsark!C25,"")</f>
        <v/>
      </c>
      <c r="D12" s="46" t="str">
        <f>Arbejdsark!D15</f>
        <v>ENV1.3</v>
      </c>
      <c r="E12" s="45" t="str">
        <f>Arbejdsark!I15</f>
        <v>x</v>
      </c>
      <c r="F12" s="45">
        <f>Arbejdsark!J15</f>
        <v>0</v>
      </c>
      <c r="G12" s="45" t="e">
        <f>Arbejdsark!#REF!</f>
        <v>#REF!</v>
      </c>
      <c r="H12" s="45" t="e">
        <f>Arbejdsark!#REF!</f>
        <v>#REF!</v>
      </c>
      <c r="I12" s="45" t="str">
        <f>IF('Sortering af spørgsmål'!C7=Projektforudsætninger!$C$23,Arbejdsark!K25,"")</f>
        <v/>
      </c>
      <c r="J12" s="41" t="s">
        <v>9</v>
      </c>
      <c r="K12" s="41"/>
      <c r="L12" s="19"/>
      <c r="M12" s="19"/>
      <c r="N12" s="19"/>
      <c r="O12" s="19"/>
      <c r="P12" s="19"/>
      <c r="Q12" s="19"/>
      <c r="R12" s="19"/>
      <c r="S12" s="19"/>
      <c r="T12" s="19"/>
      <c r="U12" s="19"/>
      <c r="AF12" s="30">
        <v>4</v>
      </c>
    </row>
    <row r="13" spans="1:34" ht="99.4" customHeight="1" x14ac:dyDescent="0.45">
      <c r="A13" s="45" t="str">
        <f>Arbejdsark!$A$25</f>
        <v>Energi</v>
      </c>
      <c r="B13" s="43" t="str">
        <f>Arbejdsark!$B$30</f>
        <v>2.2</v>
      </c>
      <c r="C13" s="45" t="str">
        <f>IF('Sortering af spørgsmål'!C7=Projektforudsætninger!$C$23,Arbejdsark!C30,"")</f>
        <v/>
      </c>
      <c r="D13" s="46">
        <f>Arbejdsark!D16</f>
        <v>0</v>
      </c>
      <c r="E13" s="45">
        <f>Arbejdsark!I16</f>
        <v>0</v>
      </c>
      <c r="F13" s="45">
        <f>Arbejdsark!J16</f>
        <v>0</v>
      </c>
      <c r="G13" s="45" t="e">
        <f>Arbejdsark!#REF!</f>
        <v>#REF!</v>
      </c>
      <c r="H13" s="45" t="e">
        <f>Arbejdsark!#REF!</f>
        <v>#REF!</v>
      </c>
      <c r="I13" s="45" t="str">
        <f>IF('Sortering af spørgsmål'!C7=Projektforudsætninger!$C$23,Arbejdsark!K30,"")</f>
        <v/>
      </c>
      <c r="J13" s="41" t="s">
        <v>9</v>
      </c>
      <c r="K13" s="41"/>
      <c r="L13" s="19"/>
      <c r="M13" s="19"/>
      <c r="N13" s="19"/>
      <c r="O13" s="19"/>
      <c r="P13" s="19"/>
      <c r="Q13" s="19"/>
      <c r="R13" s="19"/>
      <c r="S13" s="19"/>
      <c r="T13" s="19"/>
      <c r="U13" s="19"/>
      <c r="AD13" s="294" t="s">
        <v>51</v>
      </c>
    </row>
    <row r="14" spans="1:34" ht="28.5" customHeight="1" x14ac:dyDescent="0.45">
      <c r="A14" s="45"/>
      <c r="B14" s="23"/>
      <c r="C14" s="45"/>
      <c r="D14" s="46"/>
      <c r="E14" s="45"/>
      <c r="F14" s="45"/>
      <c r="G14" s="45"/>
      <c r="H14" s="45"/>
      <c r="I14" s="45"/>
      <c r="J14" s="47"/>
      <c r="K14" s="47"/>
      <c r="L14" s="19"/>
      <c r="M14" s="19"/>
      <c r="N14" s="19"/>
      <c r="O14" s="19"/>
      <c r="P14" s="19"/>
      <c r="Q14" s="19"/>
      <c r="R14" s="19"/>
      <c r="S14" s="19"/>
      <c r="T14" s="19"/>
      <c r="U14" s="19"/>
      <c r="AD14" s="294" t="s">
        <v>176</v>
      </c>
      <c r="AF14" s="294">
        <v>3</v>
      </c>
    </row>
    <row r="15" spans="1:34" ht="28.5" customHeight="1" x14ac:dyDescent="0.45">
      <c r="A15" s="50" t="str">
        <f>Arbejdsark!$A$35</f>
        <v>Vand</v>
      </c>
      <c r="B15" s="50">
        <v>3</v>
      </c>
      <c r="C15" s="50"/>
      <c r="D15" s="50"/>
      <c r="E15" s="50"/>
      <c r="F15" s="50"/>
      <c r="G15" s="50"/>
      <c r="H15" s="50"/>
      <c r="I15" s="50" t="str">
        <f>IF('Sortering af spørgsmål'!$C$8=Projektforudsætninger!$C$23,"Udfyld spørgsmål","Ingen spørgsmål")</f>
        <v>Ingen spørgsmål</v>
      </c>
      <c r="J15" s="51"/>
      <c r="K15" s="51"/>
      <c r="L15" s="19"/>
      <c r="M15" s="19"/>
      <c r="N15" s="19"/>
      <c r="O15" s="19"/>
      <c r="P15" s="19"/>
      <c r="Q15" s="19"/>
      <c r="R15" s="19"/>
      <c r="S15" s="19"/>
      <c r="T15" s="19"/>
      <c r="U15" s="19"/>
      <c r="AD15" s="294" t="s">
        <v>55</v>
      </c>
      <c r="AE15" s="33"/>
      <c r="AF15" s="294">
        <v>2</v>
      </c>
    </row>
    <row r="16" spans="1:34" ht="170.25" customHeight="1" x14ac:dyDescent="0.45">
      <c r="A16" s="45" t="str">
        <f>Arbejdsark!$A$35</f>
        <v>Vand</v>
      </c>
      <c r="B16" s="43" t="str">
        <f>Arbejdsark!$B$35</f>
        <v>3.1</v>
      </c>
      <c r="C16" s="45" t="str">
        <f>IF('Sortering af spørgsmål'!C8=Projektforudsætninger!$C$23,Arbejdsark!C35,"")</f>
        <v/>
      </c>
      <c r="D16" s="46">
        <f>Arbejdsark!D18</f>
        <v>0</v>
      </c>
      <c r="E16" s="45">
        <f>Arbejdsark!I18</f>
        <v>0</v>
      </c>
      <c r="F16" s="45">
        <f>Arbejdsark!J18</f>
        <v>0</v>
      </c>
      <c r="G16" s="45" t="e">
        <f>Arbejdsark!#REF!</f>
        <v>#REF!</v>
      </c>
      <c r="H16" s="45" t="e">
        <f>Arbejdsark!#REF!</f>
        <v>#REF!</v>
      </c>
      <c r="I16" s="45" t="str">
        <f>IF('Sortering af spørgsmål'!C8=Projektforudsætninger!$C$23,Arbejdsark!K35,"")</f>
        <v/>
      </c>
      <c r="J16" s="41" t="s">
        <v>9</v>
      </c>
      <c r="K16" s="41"/>
      <c r="L16" s="19"/>
      <c r="M16" s="19"/>
      <c r="N16" s="19"/>
      <c r="O16" s="19"/>
      <c r="P16" s="19"/>
      <c r="Q16" s="19"/>
      <c r="R16" s="19"/>
      <c r="S16" s="19"/>
      <c r="T16" s="19"/>
      <c r="U16" s="19"/>
      <c r="AD16" s="294" t="s">
        <v>56</v>
      </c>
      <c r="AF16" s="294" t="s">
        <v>187</v>
      </c>
    </row>
    <row r="17" spans="1:21" ht="170.25" customHeight="1" x14ac:dyDescent="0.45">
      <c r="A17" s="45" t="str">
        <f>Arbejdsark!$A$35</f>
        <v>Vand</v>
      </c>
      <c r="B17" s="43" t="str">
        <f>Arbejdsark!$B$40</f>
        <v>3.2</v>
      </c>
      <c r="C17" s="45" t="str">
        <f>IF('Sortering af spørgsmål'!C8=Projektforudsætninger!$C$23,Arbejdsark!C40,"")</f>
        <v/>
      </c>
      <c r="D17" s="46" t="str">
        <f>Arbejdsark!D20</f>
        <v>ENV1.1 + ENV2.1
Vægtning: 40% af summen af ENV1.1 + ENV2.1 pkt. 1 og 2</v>
      </c>
      <c r="E17" s="45" t="str">
        <f>Arbejdsark!I20</f>
        <v>x</v>
      </c>
      <c r="F17" s="45">
        <f>Arbejdsark!J20</f>
        <v>0</v>
      </c>
      <c r="G17" s="45" t="e">
        <f>Arbejdsark!#REF!</f>
        <v>#REF!</v>
      </c>
      <c r="H17" s="45" t="e">
        <f>Arbejdsark!#REF!</f>
        <v>#REF!</v>
      </c>
      <c r="I17" s="45" t="str">
        <f>IF('Sortering af spørgsmål'!C8=Projektforudsætninger!$C$23,Arbejdsark!K40,"")</f>
        <v/>
      </c>
      <c r="J17" s="41" t="s">
        <v>9</v>
      </c>
      <c r="K17" s="41"/>
      <c r="L17" s="19"/>
      <c r="M17" s="19"/>
      <c r="N17" s="19"/>
      <c r="O17" s="19"/>
      <c r="P17" s="19"/>
      <c r="Q17" s="19"/>
      <c r="R17" s="19"/>
      <c r="S17" s="19"/>
      <c r="T17" s="19"/>
      <c r="U17" s="19"/>
    </row>
    <row r="18" spans="1:21" ht="99.4" customHeight="1" x14ac:dyDescent="0.45">
      <c r="A18" s="45" t="str">
        <f>Arbejdsark!$A$35</f>
        <v>Vand</v>
      </c>
      <c r="B18" s="43" t="str">
        <f>Arbejdsark!$B$45</f>
        <v>3.3</v>
      </c>
      <c r="C18" s="45" t="str">
        <f>IF('Sortering af spørgsmål'!C8=Projektforudsætninger!$C$23,Arbejdsark!C45,"")</f>
        <v/>
      </c>
      <c r="D18" s="46">
        <f>Arbejdsark!D21</f>
        <v>0</v>
      </c>
      <c r="E18" s="45">
        <f>Arbejdsark!I21</f>
        <v>0</v>
      </c>
      <c r="F18" s="45">
        <f>Arbejdsark!J21</f>
        <v>0</v>
      </c>
      <c r="G18" s="45" t="e">
        <f>Arbejdsark!#REF!</f>
        <v>#REF!</v>
      </c>
      <c r="H18" s="45" t="e">
        <f>Arbejdsark!#REF!</f>
        <v>#REF!</v>
      </c>
      <c r="I18" s="45" t="str">
        <f>IF('Sortering af spørgsmål'!$C$8=Projektforudsætninger!$C$23,Arbejdsark!K45,"")</f>
        <v/>
      </c>
      <c r="J18" s="41" t="s">
        <v>9</v>
      </c>
      <c r="K18" s="41"/>
      <c r="L18" s="19"/>
      <c r="M18" s="19"/>
      <c r="N18" s="19"/>
      <c r="O18" s="19"/>
      <c r="P18" s="19"/>
      <c r="Q18" s="19"/>
      <c r="R18" s="19"/>
      <c r="S18" s="19"/>
      <c r="T18" s="19"/>
      <c r="U18" s="19"/>
    </row>
    <row r="19" spans="1:21" ht="28.5" customHeight="1" x14ac:dyDescent="0.45">
      <c r="A19" s="45"/>
      <c r="B19" s="45"/>
      <c r="C19" s="45"/>
      <c r="D19" s="46"/>
      <c r="E19" s="45"/>
      <c r="F19" s="45"/>
      <c r="G19" s="45"/>
      <c r="H19" s="45"/>
      <c r="I19" s="45"/>
      <c r="J19" s="47"/>
      <c r="K19" s="47"/>
      <c r="L19" s="19"/>
      <c r="M19" s="19"/>
      <c r="N19" s="19"/>
      <c r="O19" s="19"/>
      <c r="P19" s="19"/>
      <c r="Q19" s="19"/>
      <c r="R19" s="19"/>
      <c r="S19" s="19"/>
      <c r="T19" s="19"/>
      <c r="U19" s="19"/>
    </row>
    <row r="20" spans="1:21" ht="28.5" customHeight="1" x14ac:dyDescent="0.45">
      <c r="A20" s="50" t="str">
        <f>Arbejdsark!$A$51</f>
        <v>Beplantning</v>
      </c>
      <c r="B20" s="50">
        <v>4</v>
      </c>
      <c r="C20" s="50"/>
      <c r="D20" s="50"/>
      <c r="E20" s="50"/>
      <c r="F20" s="50"/>
      <c r="G20" s="50"/>
      <c r="H20" s="50"/>
      <c r="I20" s="50" t="str">
        <f>IF('Sortering af spørgsmål'!$C$9=Projektforudsætninger!$C$23,"Udfyld spørgsmål","Ingen spørgsmål")</f>
        <v>Ingen spørgsmål</v>
      </c>
      <c r="J20" s="51"/>
      <c r="K20" s="51"/>
      <c r="L20" s="19"/>
      <c r="M20" s="19"/>
      <c r="N20" s="19"/>
      <c r="O20" s="19"/>
      <c r="P20" s="19"/>
      <c r="Q20" s="19"/>
      <c r="R20" s="19"/>
      <c r="S20" s="19"/>
      <c r="T20" s="19"/>
      <c r="U20" s="19"/>
    </row>
    <row r="21" spans="1:21" ht="127.5" customHeight="1" x14ac:dyDescent="0.45">
      <c r="A21" s="45" t="str">
        <f>Arbejdsark!$A$51</f>
        <v>Beplantning</v>
      </c>
      <c r="B21" s="43" t="str">
        <f>Arbejdsark!$B$51</f>
        <v>4.1</v>
      </c>
      <c r="C21" s="45" t="str">
        <f>IF('Sortering af spørgsmål'!C9=Projektforudsætninger!$C$23,Arbejdsark!C51,"")</f>
        <v/>
      </c>
      <c r="D21" s="46">
        <f>Arbejdsark!D23</f>
        <v>0</v>
      </c>
      <c r="E21" s="45">
        <f>Arbejdsark!I23</f>
        <v>0</v>
      </c>
      <c r="F21" s="45">
        <f>Arbejdsark!J23</f>
        <v>0</v>
      </c>
      <c r="G21" s="45" t="e">
        <f>Arbejdsark!#REF!</f>
        <v>#REF!</v>
      </c>
      <c r="H21" s="45" t="e">
        <f>Arbejdsark!#REF!</f>
        <v>#REF!</v>
      </c>
      <c r="I21" s="45" t="str">
        <f>IF('Sortering af spørgsmål'!$C$9=Projektforudsætninger!$C$23,Arbejdsark!K51,"")</f>
        <v/>
      </c>
      <c r="J21" s="41" t="s">
        <v>9</v>
      </c>
      <c r="K21" s="41"/>
      <c r="L21" s="19"/>
      <c r="M21" s="19"/>
      <c r="N21" s="19"/>
      <c r="O21" s="19"/>
      <c r="P21" s="19"/>
      <c r="Q21" s="19"/>
      <c r="R21" s="19"/>
      <c r="S21" s="19"/>
      <c r="T21" s="19"/>
      <c r="U21" s="19"/>
    </row>
    <row r="22" spans="1:21" ht="42.6" customHeight="1" x14ac:dyDescent="0.45">
      <c r="A22" s="45"/>
      <c r="B22" s="43" t="str">
        <f>Arbejdsark!$B$58</f>
        <v>4.2</v>
      </c>
      <c r="C22" s="45" t="str">
        <f>IF('Sortering af spørgsmål'!C16=Projektforudsætninger!$C$23,Arbejdsark!C58,"")</f>
        <v/>
      </c>
      <c r="D22" s="46"/>
      <c r="E22" s="45"/>
      <c r="F22" s="45"/>
      <c r="G22" s="45"/>
      <c r="H22" s="45"/>
      <c r="I22" s="45" t="str">
        <f>IF('Sortering af spørgsmål'!$C$9=Projektforudsætninger!$C$23,Arbejdsark!K58,"")</f>
        <v/>
      </c>
      <c r="J22" s="41" t="s">
        <v>9</v>
      </c>
      <c r="K22" s="41"/>
      <c r="L22" s="19"/>
      <c r="M22" s="19"/>
      <c r="N22" s="19"/>
      <c r="O22" s="19"/>
      <c r="P22" s="19"/>
      <c r="Q22" s="19"/>
      <c r="R22" s="19"/>
      <c r="S22" s="19"/>
      <c r="T22" s="19"/>
      <c r="U22" s="19"/>
    </row>
    <row r="23" spans="1:21" ht="113.65" customHeight="1" x14ac:dyDescent="0.45">
      <c r="A23" s="45" t="str">
        <f>Arbejdsark!$A$51</f>
        <v>Beplantning</v>
      </c>
      <c r="B23" s="43" t="str">
        <f>Arbejdsark!$B$63</f>
        <v>4.3</v>
      </c>
      <c r="C23" s="45" t="str">
        <f>IF('Sortering af spørgsmål'!C9=Projektforudsætninger!$C$23,Arbejdsark!C63,"")</f>
        <v/>
      </c>
      <c r="D23" s="46">
        <f>Arbejdsark!D24</f>
        <v>0</v>
      </c>
      <c r="E23" s="45">
        <f>Arbejdsark!I24</f>
        <v>0</v>
      </c>
      <c r="F23" s="45">
        <f>Arbejdsark!J24</f>
        <v>0</v>
      </c>
      <c r="G23" s="45" t="e">
        <f>Arbejdsark!#REF!</f>
        <v>#REF!</v>
      </c>
      <c r="H23" s="45" t="e">
        <f>Arbejdsark!#REF!</f>
        <v>#REF!</v>
      </c>
      <c r="I23" s="45" t="str">
        <f>IF('Sortering af spørgsmål'!C9=Projektforudsætninger!$C$23,Arbejdsark!K63,"")</f>
        <v/>
      </c>
      <c r="J23" s="41" t="s">
        <v>9</v>
      </c>
      <c r="K23" s="41"/>
      <c r="L23" s="19"/>
      <c r="M23" s="19"/>
      <c r="N23" s="19"/>
      <c r="O23" s="19"/>
      <c r="P23" s="19"/>
      <c r="Q23" s="19"/>
      <c r="R23" s="19"/>
      <c r="S23" s="19"/>
      <c r="T23" s="19"/>
      <c r="U23" s="19"/>
    </row>
    <row r="24" spans="1:21" ht="113.65" customHeight="1" x14ac:dyDescent="0.45">
      <c r="A24" s="45" t="str">
        <f>Arbejdsark!$A$51</f>
        <v>Beplantning</v>
      </c>
      <c r="B24" s="43" t="str">
        <f>Arbejdsark!$B$68</f>
        <v>4.4</v>
      </c>
      <c r="C24" s="45" t="str">
        <f>IF('Sortering af spørgsmål'!C9=Projektforudsætninger!$C$23,Arbejdsark!C68,"")</f>
        <v/>
      </c>
      <c r="D24" s="46" t="str">
        <f>Arbejdsark!D25</f>
        <v>ENV2.1
Vægtning: ENV2.1 pkt. 3</v>
      </c>
      <c r="E24" s="45" t="str">
        <f>Arbejdsark!I25</f>
        <v>x</v>
      </c>
      <c r="F24" s="45">
        <f>Arbejdsark!J25</f>
        <v>0</v>
      </c>
      <c r="G24" s="45" t="e">
        <f>Arbejdsark!#REF!</f>
        <v>#REF!</v>
      </c>
      <c r="H24" s="45" t="e">
        <f>Arbejdsark!#REF!</f>
        <v>#REF!</v>
      </c>
      <c r="I24" s="45" t="str">
        <f>IF('Sortering af spørgsmål'!$C$9=Projektforudsætninger!$C$23,Arbejdsark!K68,"")</f>
        <v/>
      </c>
      <c r="J24" s="41" t="s">
        <v>9</v>
      </c>
      <c r="K24" s="41"/>
      <c r="L24" s="19"/>
      <c r="M24" s="19"/>
      <c r="N24" s="19"/>
      <c r="O24" s="19"/>
      <c r="P24" s="19"/>
      <c r="Q24" s="19"/>
      <c r="R24" s="19"/>
      <c r="S24" s="19"/>
      <c r="T24" s="19"/>
      <c r="U24" s="19"/>
    </row>
    <row r="25" spans="1:21" x14ac:dyDescent="0.45">
      <c r="A25" s="45"/>
      <c r="B25" s="134"/>
      <c r="C25" s="45"/>
      <c r="D25" s="46"/>
      <c r="E25" s="45"/>
      <c r="F25" s="45"/>
      <c r="G25" s="45"/>
      <c r="H25" s="45"/>
      <c r="I25" s="45"/>
      <c r="J25" s="47"/>
      <c r="K25" s="47"/>
      <c r="L25" s="19"/>
      <c r="M25" s="19"/>
      <c r="N25" s="19"/>
      <c r="O25" s="19"/>
      <c r="P25" s="19"/>
      <c r="Q25" s="19"/>
      <c r="R25" s="19"/>
      <c r="S25" s="19"/>
      <c r="T25" s="19"/>
      <c r="U25" s="19"/>
    </row>
    <row r="26" spans="1:21" ht="28.5" customHeight="1" x14ac:dyDescent="0.45">
      <c r="A26" s="50" t="str">
        <f>Arbejdsark!$A$73</f>
        <v>Bebyggelsestæthed</v>
      </c>
      <c r="B26" s="50">
        <v>5</v>
      </c>
      <c r="C26" s="50"/>
      <c r="D26" s="50"/>
      <c r="E26" s="50"/>
      <c r="F26" s="50"/>
      <c r="G26" s="50"/>
      <c r="H26" s="50"/>
      <c r="I26" s="50" t="str">
        <f>IF('Sortering af spørgsmål'!$C$10=Projektforudsætninger!$C$23,"Udfyld spørgsmål","Ingen spørgsmål")</f>
        <v>Ingen spørgsmål</v>
      </c>
      <c r="J26" s="51"/>
      <c r="K26" s="51"/>
      <c r="L26" s="19"/>
      <c r="M26" s="19"/>
      <c r="N26" s="19"/>
      <c r="O26" s="19"/>
      <c r="P26" s="19"/>
      <c r="Q26" s="19"/>
      <c r="R26" s="19"/>
      <c r="S26" s="19"/>
      <c r="T26" s="19"/>
      <c r="U26" s="19"/>
    </row>
    <row r="27" spans="1:21" ht="198.4" customHeight="1" x14ac:dyDescent="0.45">
      <c r="A27" s="45" t="str">
        <f>Arbejdsark!$A$73</f>
        <v>Bebyggelsestæthed</v>
      </c>
      <c r="B27" s="43" t="str">
        <f>Arbejdsark!$B$73</f>
        <v>5.1</v>
      </c>
      <c r="C27" s="45" t="str">
        <f>IF(Projektforudsætninger!C37=Projektforudsætninger!H7,IF('Sortering af spørgsmål'!C10=Projektforudsætninger!$C$23,Arbejdsark!C73,""),"")</f>
        <v/>
      </c>
      <c r="D27" s="46">
        <f>Arbejdsark!D27</f>
        <v>0</v>
      </c>
      <c r="E27" s="45">
        <f>Arbejdsark!I27</f>
        <v>0</v>
      </c>
      <c r="F27" s="45">
        <f>Arbejdsark!J27</f>
        <v>0</v>
      </c>
      <c r="G27" s="45" t="e">
        <f>Arbejdsark!#REF!</f>
        <v>#REF!</v>
      </c>
      <c r="H27" s="45" t="e">
        <f>Arbejdsark!#REF!</f>
        <v>#REF!</v>
      </c>
      <c r="I27" s="45" t="str">
        <f>IF(Projektforudsætninger!C37=Projektforudsætninger!H7,IF('Sortering af spørgsmål'!$C$10=Projektforudsætninger!$C$23,Arbejdsark!K73,""),"")</f>
        <v/>
      </c>
      <c r="J27" s="41" t="s">
        <v>9</v>
      </c>
      <c r="K27" s="41"/>
      <c r="L27" s="19"/>
      <c r="M27" s="19"/>
      <c r="N27" s="19"/>
      <c r="O27" s="19"/>
      <c r="P27" s="19"/>
      <c r="Q27" s="19"/>
      <c r="R27" s="19"/>
      <c r="S27" s="19"/>
      <c r="T27" s="19"/>
      <c r="U27" s="19"/>
    </row>
    <row r="28" spans="1:21" x14ac:dyDescent="0.45">
      <c r="A28" s="45"/>
      <c r="B28" s="45"/>
      <c r="C28" s="45"/>
      <c r="D28" s="46"/>
      <c r="E28" s="45"/>
      <c r="F28" s="45"/>
      <c r="G28" s="45"/>
      <c r="H28" s="45"/>
      <c r="I28" s="45"/>
      <c r="J28" s="47"/>
      <c r="K28" s="47"/>
      <c r="L28" s="19"/>
      <c r="M28" s="19"/>
      <c r="N28" s="19"/>
      <c r="O28" s="19"/>
      <c r="P28" s="19"/>
      <c r="Q28" s="19"/>
      <c r="R28" s="19"/>
      <c r="S28" s="19"/>
      <c r="T28" s="19"/>
      <c r="U28" s="19"/>
    </row>
    <row r="29" spans="1:21" ht="28.5" customHeight="1" x14ac:dyDescent="0.45">
      <c r="A29" s="50" t="str">
        <f>Arbejdsark!$A$78</f>
        <v>Forurening</v>
      </c>
      <c r="B29" s="50">
        <v>6</v>
      </c>
      <c r="C29" s="50"/>
      <c r="D29" s="50"/>
      <c r="E29" s="50"/>
      <c r="F29" s="50"/>
      <c r="G29" s="50"/>
      <c r="H29" s="50"/>
      <c r="I29" s="50" t="str">
        <f>IF('Sortering af spørgsmål'!$C$11=Projektforudsætninger!$C$23,"Udfyld spørgsmål","Ingen spørgsmål")</f>
        <v>Ingen spørgsmål</v>
      </c>
      <c r="J29" s="51"/>
      <c r="K29" s="51"/>
      <c r="L29" s="19"/>
      <c r="M29" s="19"/>
      <c r="N29" s="19"/>
      <c r="O29" s="19"/>
      <c r="P29" s="19"/>
      <c r="Q29" s="19"/>
      <c r="R29" s="19"/>
      <c r="S29" s="19"/>
      <c r="T29" s="19"/>
      <c r="U29" s="19"/>
    </row>
    <row r="30" spans="1:21" ht="226.9" customHeight="1" x14ac:dyDescent="0.45">
      <c r="A30" s="45" t="str">
        <f>Arbejdsark!$A$78</f>
        <v>Forurening</v>
      </c>
      <c r="B30" s="43" t="str">
        <f>Arbejdsark!$B$78</f>
        <v>6.1</v>
      </c>
      <c r="C30" s="45" t="str">
        <f>IF('Sortering af spørgsmål'!C11=Projektforudsætninger!$C$23,Arbejdsark!C78,"")</f>
        <v/>
      </c>
      <c r="D30" s="46">
        <f>Arbejdsark!D29</f>
        <v>0</v>
      </c>
      <c r="E30" s="45">
        <f>Arbejdsark!I29</f>
        <v>0</v>
      </c>
      <c r="F30" s="45">
        <f>Arbejdsark!J29</f>
        <v>0</v>
      </c>
      <c r="G30" s="45" t="e">
        <f>Arbejdsark!#REF!</f>
        <v>#REF!</v>
      </c>
      <c r="H30" s="45" t="e">
        <f>Arbejdsark!#REF!</f>
        <v>#REF!</v>
      </c>
      <c r="I30" s="45" t="str">
        <f>IF('Sortering af spørgsmål'!$C$11=Projektforudsætninger!$C$23,Arbejdsark!K78,"")</f>
        <v/>
      </c>
      <c r="J30" s="41" t="s">
        <v>9</v>
      </c>
      <c r="K30" s="41"/>
      <c r="L30" s="19"/>
      <c r="M30" s="19"/>
      <c r="N30" s="19"/>
      <c r="O30" s="19"/>
      <c r="P30" s="19"/>
      <c r="Q30" s="19"/>
      <c r="R30" s="19"/>
      <c r="S30" s="19"/>
      <c r="T30" s="19"/>
      <c r="U30" s="19"/>
    </row>
    <row r="31" spans="1:21" ht="198.4" customHeight="1" x14ac:dyDescent="0.45">
      <c r="A31" s="45" t="str">
        <f>Arbejdsark!$A$78</f>
        <v>Forurening</v>
      </c>
      <c r="B31" s="43" t="str">
        <f>Arbejdsark!$B$84</f>
        <v>6.2</v>
      </c>
      <c r="C31" s="45" t="str">
        <f>IF('Sortering af spørgsmål'!C11=Projektforudsætninger!$C$23,Arbejdsark!C84,"")</f>
        <v/>
      </c>
      <c r="D31" s="46">
        <f>Arbejdsark!D31</f>
        <v>0</v>
      </c>
      <c r="E31" s="45">
        <f>Arbejdsark!I31</f>
        <v>0</v>
      </c>
      <c r="F31" s="45">
        <f>Arbejdsark!J31</f>
        <v>0</v>
      </c>
      <c r="G31" s="45" t="e">
        <f>Arbejdsark!#REF!</f>
        <v>#REF!</v>
      </c>
      <c r="H31" s="45" t="e">
        <f>Arbejdsark!#REF!</f>
        <v>#REF!</v>
      </c>
      <c r="I31" s="45" t="str">
        <f>IF('Sortering af spørgsmål'!$C$11=Projektforudsætninger!$C$23,Arbejdsark!K84,"")</f>
        <v/>
      </c>
      <c r="J31" s="41" t="s">
        <v>9</v>
      </c>
      <c r="K31" s="41"/>
      <c r="L31" s="19"/>
      <c r="M31" s="19"/>
      <c r="N31" s="19"/>
      <c r="O31" s="19"/>
      <c r="P31" s="19"/>
      <c r="Q31" s="19"/>
      <c r="R31" s="19"/>
      <c r="S31" s="19"/>
      <c r="T31" s="19"/>
      <c r="U31" s="19"/>
    </row>
    <row r="32" spans="1:21" x14ac:dyDescent="0.45">
      <c r="A32" s="45"/>
      <c r="B32" s="45"/>
      <c r="C32" s="45"/>
      <c r="D32" s="46"/>
      <c r="E32" s="45"/>
      <c r="F32" s="45"/>
      <c r="G32" s="45"/>
      <c r="H32" s="45"/>
      <c r="I32" s="45"/>
      <c r="J32" s="47"/>
      <c r="K32" s="47"/>
      <c r="L32" s="19"/>
      <c r="M32" s="19"/>
      <c r="N32" s="19"/>
      <c r="O32" s="19"/>
      <c r="P32" s="19"/>
      <c r="Q32" s="19"/>
      <c r="R32" s="19"/>
      <c r="S32" s="19"/>
      <c r="T32" s="19"/>
      <c r="U32" s="19"/>
    </row>
    <row r="33" spans="1:30" ht="28.5" customHeight="1" x14ac:dyDescent="0.45">
      <c r="A33" s="66" t="str">
        <f>Arbejdsark!$A$89</f>
        <v>ØKONOMISK  KVALITET</v>
      </c>
      <c r="B33" s="36"/>
      <c r="C33" s="66"/>
      <c r="D33" s="66"/>
      <c r="E33" s="66"/>
      <c r="F33" s="66"/>
      <c r="G33" s="66"/>
      <c r="H33" s="66"/>
      <c r="I33" s="36"/>
      <c r="J33" s="39"/>
      <c r="K33" s="39"/>
      <c r="L33" s="19"/>
      <c r="M33" s="19"/>
      <c r="N33" s="19"/>
      <c r="O33" s="19"/>
      <c r="P33" s="19"/>
      <c r="Q33" s="19"/>
      <c r="R33" s="19"/>
      <c r="S33" s="19"/>
      <c r="T33" s="19"/>
      <c r="U33" s="19"/>
    </row>
    <row r="34" spans="1:30" ht="28.5" customHeight="1" x14ac:dyDescent="0.45">
      <c r="A34" s="58" t="str">
        <f>$A$4</f>
        <v>Tema</v>
      </c>
      <c r="B34" s="58" t="s">
        <v>179</v>
      </c>
      <c r="C34" s="58" t="str">
        <f>$C$4</f>
        <v>Emne</v>
      </c>
      <c r="D34" s="58" t="str">
        <f>D4</f>
        <v>DGNB kriterium</v>
      </c>
      <c r="E34" s="58" t="str">
        <f>E4</f>
        <v>Byggeudvalg eller Hovedbestyrelse</v>
      </c>
      <c r="F34" s="58" t="str">
        <f>F4</f>
        <v>Projektleder</v>
      </c>
      <c r="G34" s="58" t="str">
        <f>G4</f>
        <v>#REFERENCE!</v>
      </c>
      <c r="H34" s="58" t="str">
        <f>H4</f>
        <v>Ikon</v>
      </c>
      <c r="I34" s="58" t="str">
        <f>$I$4</f>
        <v>Spørgsmål</v>
      </c>
      <c r="J34" s="59" t="str">
        <f>$J$4</f>
        <v>Svar</v>
      </c>
      <c r="K34" s="59" t="str">
        <f>$K$4</f>
        <v>Uddybende kommentarer</v>
      </c>
      <c r="L34" s="19"/>
      <c r="M34" s="19"/>
      <c r="N34" s="19"/>
      <c r="O34" s="19"/>
      <c r="P34" s="19"/>
      <c r="Q34" s="19"/>
      <c r="R34" s="19"/>
      <c r="S34" s="19"/>
      <c r="T34" s="19"/>
      <c r="U34" s="19"/>
      <c r="AD34" s="294" t="s">
        <v>24</v>
      </c>
    </row>
    <row r="35" spans="1:30" ht="28.5" customHeight="1" x14ac:dyDescent="0.45">
      <c r="A35" s="66" t="str">
        <f>Arbejdsark!$A$91</f>
        <v>Levetidsomkostninger</v>
      </c>
      <c r="B35" s="36">
        <v>1</v>
      </c>
      <c r="C35" s="66"/>
      <c r="D35" s="66"/>
      <c r="E35" s="66"/>
      <c r="F35" s="66"/>
      <c r="G35" s="66"/>
      <c r="H35" s="66"/>
      <c r="I35" s="36" t="str">
        <f>IF('Sortering af spørgsmål'!$C$12=Projektforudsætninger!$C$23,"Udfyld spørgsmål","Ingen spørgsmål")</f>
        <v>Ingen spørgsmål</v>
      </c>
      <c r="J35" s="39"/>
      <c r="K35" s="39"/>
      <c r="L35" s="19"/>
      <c r="M35" s="19"/>
      <c r="N35" s="19"/>
      <c r="O35" s="19"/>
      <c r="P35" s="19"/>
      <c r="Q35" s="19"/>
      <c r="R35" s="19"/>
      <c r="S35" s="19"/>
      <c r="T35" s="19"/>
      <c r="U35" s="19"/>
      <c r="AD35" s="294" t="s">
        <v>26</v>
      </c>
    </row>
    <row r="36" spans="1:30" ht="170.25" customHeight="1" x14ac:dyDescent="0.45">
      <c r="A36" s="45" t="str">
        <f>Arbejdsark!$A$91</f>
        <v>Levetidsomkostninger</v>
      </c>
      <c r="B36" s="43" t="str">
        <f>Arbejdsark!$B$91</f>
        <v>1.1</v>
      </c>
      <c r="C36" s="45" t="str">
        <f>IF('Sortering af spørgsmål'!C12=Projektforudsætninger!$C$23,Arbejdsark!C91,"")</f>
        <v/>
      </c>
      <c r="D36" s="46" t="str">
        <f>Arbejdsark!D35</f>
        <v>ENV2.2
Vægtning: 20% af ENV2.2</v>
      </c>
      <c r="E36" s="45" t="str">
        <f>Arbejdsark!I35</f>
        <v>x</v>
      </c>
      <c r="F36" s="45">
        <f>Arbejdsark!J35</f>
        <v>0</v>
      </c>
      <c r="G36" s="45" t="e">
        <f>Arbejdsark!#REF!</f>
        <v>#REF!</v>
      </c>
      <c r="H36" s="45" t="e">
        <f>Arbejdsark!#REF!</f>
        <v>#REF!</v>
      </c>
      <c r="I36" s="45" t="str">
        <f>IF('Sortering af spørgsmål'!C12=Projektforudsætninger!$C$23,Arbejdsark!K91,"")</f>
        <v/>
      </c>
      <c r="J36" s="41" t="s">
        <v>9</v>
      </c>
      <c r="K36" s="41"/>
      <c r="L36" s="19"/>
      <c r="M36" s="19"/>
      <c r="N36" s="19"/>
      <c r="O36" s="19"/>
      <c r="P36" s="19"/>
      <c r="Q36" s="19"/>
      <c r="R36" s="19"/>
      <c r="S36" s="19"/>
      <c r="T36" s="19"/>
      <c r="U36" s="19"/>
      <c r="AD36" s="294" t="s">
        <v>28</v>
      </c>
    </row>
    <row r="37" spans="1:30" ht="70.900000000000006" customHeight="1" x14ac:dyDescent="0.45">
      <c r="A37" s="45" t="str">
        <f>Arbejdsark!$A$91</f>
        <v>Levetidsomkostninger</v>
      </c>
      <c r="B37" s="43" t="str">
        <f>Arbejdsark!$B$109</f>
        <v>1.2</v>
      </c>
      <c r="C37" s="45" t="str">
        <f>IF('Sortering af spørgsmål'!C12=Projektforudsætninger!$C$23,Arbejdsark!C109,"")</f>
        <v/>
      </c>
      <c r="D37" s="46">
        <f>Arbejdsark!D37</f>
        <v>0</v>
      </c>
      <c r="E37" s="45">
        <f>Arbejdsark!I37</f>
        <v>0</v>
      </c>
      <c r="F37" s="45">
        <f>Arbejdsark!J37</f>
        <v>0</v>
      </c>
      <c r="G37" s="45" t="e">
        <f>Arbejdsark!#REF!</f>
        <v>#REF!</v>
      </c>
      <c r="H37" s="45" t="e">
        <f>Arbejdsark!#REF!</f>
        <v>#REF!</v>
      </c>
      <c r="I37" s="45" t="str">
        <f>IF('Sortering af spørgsmål'!C12=Projektforudsætninger!$C$23,Arbejdsark!K109,"")</f>
        <v/>
      </c>
      <c r="J37" s="41" t="s">
        <v>9</v>
      </c>
      <c r="K37" s="41"/>
      <c r="L37" s="19"/>
      <c r="M37" s="19"/>
      <c r="N37" s="19"/>
      <c r="O37" s="19"/>
      <c r="P37" s="19"/>
      <c r="Q37" s="19"/>
      <c r="R37" s="19"/>
      <c r="S37" s="19"/>
      <c r="T37" s="19"/>
      <c r="U37" s="19"/>
      <c r="AD37" s="294" t="s">
        <v>31</v>
      </c>
    </row>
    <row r="38" spans="1:30" ht="23.25" x14ac:dyDescent="0.45">
      <c r="A38" s="45"/>
      <c r="B38" s="45"/>
      <c r="C38" s="45"/>
      <c r="D38" s="46"/>
      <c r="E38" s="45"/>
      <c r="F38" s="45"/>
      <c r="G38" s="45"/>
      <c r="H38" s="45"/>
      <c r="I38" s="45"/>
      <c r="J38" s="47"/>
      <c r="K38" s="47"/>
      <c r="L38" s="19"/>
      <c r="M38" s="19"/>
      <c r="N38" s="19"/>
      <c r="O38" s="19"/>
      <c r="P38" s="19"/>
      <c r="Q38" s="19"/>
      <c r="R38" s="19"/>
      <c r="S38" s="19"/>
      <c r="T38" s="19"/>
      <c r="U38" s="19"/>
      <c r="AD38" s="294" t="s">
        <v>33</v>
      </c>
    </row>
    <row r="39" spans="1:30" ht="28.5" customHeight="1" x14ac:dyDescent="0.45">
      <c r="A39" s="66" t="str">
        <f>Arbejdsark!$A$114</f>
        <v>Fleksibilitet</v>
      </c>
      <c r="B39" s="36" t="str">
        <f>Arbejdsark!$B$114</f>
        <v>2.1</v>
      </c>
      <c r="C39" s="66"/>
      <c r="D39" s="66"/>
      <c r="E39" s="66"/>
      <c r="F39" s="66"/>
      <c r="G39" s="66"/>
      <c r="H39" s="66"/>
      <c r="I39" s="36" t="str">
        <f>IF('Sortering af spørgsmål'!$C$13=Projektforudsætninger!$C$23,"Udfyld spørgsmål","Ingen spørgsmål")</f>
        <v>Ingen spørgsmål</v>
      </c>
      <c r="J39" s="39"/>
      <c r="K39" s="39"/>
      <c r="L39" s="19"/>
      <c r="M39" s="19"/>
      <c r="N39" s="19"/>
      <c r="O39" s="19"/>
      <c r="P39" s="19"/>
      <c r="Q39" s="19"/>
      <c r="R39" s="19"/>
      <c r="S39" s="19"/>
      <c r="T39" s="19"/>
      <c r="U39" s="19"/>
      <c r="AD39" s="294" t="s">
        <v>35</v>
      </c>
    </row>
    <row r="40" spans="1:30" ht="170.25" customHeight="1" x14ac:dyDescent="0.45">
      <c r="A40" s="45" t="str">
        <f>Arbejdsark!$A$114</f>
        <v>Fleksibilitet</v>
      </c>
      <c r="B40" s="43" t="str">
        <f>Arbejdsark!$B$114</f>
        <v>2.1</v>
      </c>
      <c r="C40" s="45" t="str">
        <f>IF('Sortering af spørgsmål'!C13=Projektforudsætninger!$C$23,Arbejdsark!C114,"")</f>
        <v/>
      </c>
      <c r="D40" s="46">
        <f>Arbejdsark!D39</f>
        <v>0</v>
      </c>
      <c r="E40" s="45">
        <f>Arbejdsark!I39</f>
        <v>0</v>
      </c>
      <c r="F40" s="45">
        <f>Arbejdsark!J39</f>
        <v>0</v>
      </c>
      <c r="G40" s="45" t="e">
        <f>Arbejdsark!#REF!</f>
        <v>#REF!</v>
      </c>
      <c r="H40" s="45" t="e">
        <f>Arbejdsark!#REF!</f>
        <v>#REF!</v>
      </c>
      <c r="I40" s="45" t="str">
        <f>IF('Sortering af spørgsmål'!$C$13=Projektforudsætninger!$C$23,Arbejdsark!K114,"")</f>
        <v/>
      </c>
      <c r="J40" s="41" t="s">
        <v>9</v>
      </c>
      <c r="K40" s="41"/>
      <c r="L40" s="19"/>
      <c r="M40" s="19"/>
      <c r="N40" s="19"/>
      <c r="O40" s="19"/>
      <c r="P40" s="19"/>
      <c r="Q40" s="19"/>
      <c r="R40" s="19"/>
      <c r="S40" s="19"/>
      <c r="T40" s="19"/>
      <c r="U40" s="19"/>
      <c r="AD40" s="294" t="s">
        <v>37</v>
      </c>
    </row>
    <row r="41" spans="1:30" ht="198.4" customHeight="1" x14ac:dyDescent="0.45">
      <c r="A41" s="45" t="str">
        <f>Arbejdsark!$A$114</f>
        <v>Fleksibilitet</v>
      </c>
      <c r="B41" s="43" t="str">
        <f>Arbejdsark!$B$119</f>
        <v>2.2</v>
      </c>
      <c r="C41" s="45" t="str">
        <f>IF('Sortering af spørgsmål'!C13=Projektforudsætninger!$C$23,Arbejdsark!C119,"")</f>
        <v/>
      </c>
      <c r="D41" s="46" t="str">
        <f>Arbejdsark!D40</f>
        <v>ENV2.2
Vægtning: 20% af ENV2.2</v>
      </c>
      <c r="E41" s="45" t="str">
        <f>Arbejdsark!I40</f>
        <v>x</v>
      </c>
      <c r="F41" s="45">
        <f>Arbejdsark!J40</f>
        <v>0</v>
      </c>
      <c r="G41" s="45" t="e">
        <f>Arbejdsark!#REF!</f>
        <v>#REF!</v>
      </c>
      <c r="H41" s="45" t="e">
        <f>Arbejdsark!#REF!</f>
        <v>#REF!</v>
      </c>
      <c r="I41" s="45" t="str">
        <f>IF('Sortering af spørgsmål'!$C$13=Projektforudsætninger!$C$23,Arbejdsark!K119,"")</f>
        <v/>
      </c>
      <c r="J41" s="41" t="s">
        <v>9</v>
      </c>
      <c r="K41" s="41"/>
      <c r="L41" s="19"/>
      <c r="M41" s="19"/>
      <c r="N41" s="19"/>
      <c r="O41" s="19"/>
      <c r="P41" s="19"/>
      <c r="Q41" s="19"/>
      <c r="R41" s="19"/>
      <c r="S41" s="19"/>
      <c r="T41" s="19"/>
      <c r="U41" s="19"/>
      <c r="AD41" s="294" t="s">
        <v>42</v>
      </c>
    </row>
    <row r="42" spans="1:30" ht="198.4" customHeight="1" x14ac:dyDescent="0.45">
      <c r="A42" s="45" t="str">
        <f>Arbejdsark!$A$114</f>
        <v>Fleksibilitet</v>
      </c>
      <c r="B42" s="43" t="str">
        <f>Arbejdsark!$B$124</f>
        <v>2.3</v>
      </c>
      <c r="C42" s="45" t="str">
        <f>IF('Sortering af spørgsmål'!C13=Projektforudsætninger!$C$23,Arbejdsark!C124,"")</f>
        <v/>
      </c>
      <c r="D42" s="46">
        <f>Arbejdsark!D41</f>
        <v>0</v>
      </c>
      <c r="E42" s="45">
        <f>Arbejdsark!I41</f>
        <v>0</v>
      </c>
      <c r="F42" s="45">
        <f>Arbejdsark!J41</f>
        <v>0</v>
      </c>
      <c r="G42" s="45" t="e">
        <f>Arbejdsark!#REF!</f>
        <v>#REF!</v>
      </c>
      <c r="H42" s="45" t="e">
        <f>Arbejdsark!#REF!</f>
        <v>#REF!</v>
      </c>
      <c r="I42" s="45" t="str">
        <f>IF('Sortering af spørgsmål'!C13=Projektforudsætninger!$C$23,Arbejdsark!K124,"")</f>
        <v/>
      </c>
      <c r="J42" s="41" t="s">
        <v>9</v>
      </c>
      <c r="K42" s="41"/>
      <c r="L42" s="19"/>
      <c r="M42" s="19"/>
      <c r="N42" s="19"/>
      <c r="O42" s="19"/>
      <c r="P42" s="19"/>
      <c r="Q42" s="19"/>
      <c r="R42" s="19"/>
      <c r="S42" s="19"/>
      <c r="T42" s="19"/>
      <c r="U42" s="19"/>
      <c r="AD42" s="294" t="s">
        <v>45</v>
      </c>
    </row>
    <row r="43" spans="1:30" ht="255.4" customHeight="1" x14ac:dyDescent="0.45">
      <c r="A43" s="45" t="str">
        <f>Arbejdsark!$A$114</f>
        <v>Fleksibilitet</v>
      </c>
      <c r="B43" s="43" t="str">
        <f>Arbejdsark!$B$129</f>
        <v>2.4</v>
      </c>
      <c r="C43" s="45" t="str">
        <f>IF('Sortering af spørgsmål'!C13=Projektforudsætninger!$C$23,Arbejdsark!C129,"")</f>
        <v/>
      </c>
      <c r="D43" s="46">
        <f>Arbejdsark!D42</f>
        <v>0</v>
      </c>
      <c r="E43" s="45">
        <f>Arbejdsark!I42</f>
        <v>0</v>
      </c>
      <c r="F43" s="45">
        <f>Arbejdsark!J42</f>
        <v>0</v>
      </c>
      <c r="G43" s="45" t="e">
        <f>Arbejdsark!#REF!</f>
        <v>#REF!</v>
      </c>
      <c r="H43" s="45" t="e">
        <f>Arbejdsark!#REF!</f>
        <v>#REF!</v>
      </c>
      <c r="I43" s="45" t="str">
        <f>IF('Sortering af spørgsmål'!C13=Projektforudsætninger!$C$23,Arbejdsark!K129,"")</f>
        <v/>
      </c>
      <c r="J43" s="41" t="s">
        <v>9</v>
      </c>
      <c r="K43" s="41"/>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spørgsmål'!C13=Projektforudsætninger!$C$23,Arbejdsark!C134,"")</f>
        <v/>
      </c>
      <c r="D44" s="46">
        <f>Arbejdsark!D43</f>
        <v>0</v>
      </c>
      <c r="E44" s="45">
        <f>Arbejdsark!I43</f>
        <v>0</v>
      </c>
      <c r="F44" s="45">
        <f>Arbejdsark!J43</f>
        <v>0</v>
      </c>
      <c r="G44" s="45" t="e">
        <f>Arbejdsark!#REF!</f>
        <v>#REF!</v>
      </c>
      <c r="H44" s="45" t="e">
        <f>Arbejdsark!#REF!</f>
        <v>#REF!</v>
      </c>
      <c r="I44" s="45" t="str">
        <f>IF('Sortering af spørgsmål'!C13=Projektforudsætninger!$C$23,Arbejdsark!K134,"")</f>
        <v/>
      </c>
      <c r="J44" s="41" t="s">
        <v>9</v>
      </c>
      <c r="K44" s="41"/>
      <c r="L44" s="19"/>
      <c r="M44" s="19"/>
      <c r="N44" s="19"/>
      <c r="O44" s="19"/>
      <c r="P44" s="19"/>
      <c r="Q44" s="19"/>
      <c r="R44" s="19"/>
      <c r="S44" s="19"/>
      <c r="T44" s="19"/>
      <c r="U44" s="19"/>
    </row>
    <row r="45" spans="1:30" ht="141.75" customHeight="1" x14ac:dyDescent="0.45">
      <c r="A45" s="45" t="str">
        <f>Arbejdsark!$A$114</f>
        <v>Fleksibilitet</v>
      </c>
      <c r="B45" s="43" t="str">
        <f>Arbejdsark!$B$139</f>
        <v>2.6</v>
      </c>
      <c r="C45" s="45" t="str">
        <f>IF('Sortering af spørgsmål'!C13=Projektforudsætninger!$C$23,Arbejdsark!C139,"")</f>
        <v/>
      </c>
      <c r="D45" s="46">
        <f>Arbejdsark!D44</f>
        <v>0</v>
      </c>
      <c r="E45" s="45">
        <f>Arbejdsark!I44</f>
        <v>0</v>
      </c>
      <c r="F45" s="45">
        <f>Arbejdsark!J44</f>
        <v>0</v>
      </c>
      <c r="G45" s="45" t="e">
        <f>Arbejdsark!#REF!</f>
        <v>#REF!</v>
      </c>
      <c r="H45" s="45" t="e">
        <f>Arbejdsark!#REF!</f>
        <v>#REF!</v>
      </c>
      <c r="I45" s="45" t="str">
        <f>IF('Sortering af spørgsmål'!C13=Projektforudsætninger!$C$23,Arbejdsark!K139,"")</f>
        <v/>
      </c>
      <c r="J45" s="41" t="s">
        <v>9</v>
      </c>
      <c r="K45" s="41"/>
      <c r="L45" s="19"/>
      <c r="M45" s="19"/>
      <c r="N45" s="19"/>
      <c r="O45" s="19"/>
      <c r="P45" s="19"/>
      <c r="Q45" s="19"/>
      <c r="R45" s="19"/>
      <c r="S45" s="19"/>
      <c r="T45" s="19"/>
      <c r="U45" s="19"/>
    </row>
    <row r="46" spans="1:30" ht="198.4" customHeight="1" x14ac:dyDescent="0.45">
      <c r="A46" s="45" t="str">
        <f>Arbejdsark!$A$114</f>
        <v>Fleksibilitet</v>
      </c>
      <c r="B46" s="43" t="str">
        <f>Arbejdsark!$B$144</f>
        <v>2.7</v>
      </c>
      <c r="C46" s="45" t="str">
        <f>IF('Sortering af spørgsmål'!C13=Projektforudsætninger!$C$23,Arbejdsark!C144,"")</f>
        <v/>
      </c>
      <c r="D46" s="46"/>
      <c r="E46" s="45"/>
      <c r="F46" s="45"/>
      <c r="G46" s="45"/>
      <c r="H46" s="45"/>
      <c r="I46" s="45" t="str">
        <f>IF('Sortering af spørgsmål'!C13=Projektforudsætninger!$C$23,Arbejdsark!K144,"")</f>
        <v/>
      </c>
      <c r="J46" s="41" t="s">
        <v>9</v>
      </c>
      <c r="K46" s="41"/>
      <c r="L46" s="19"/>
      <c r="M46" s="19"/>
      <c r="N46" s="19"/>
      <c r="O46" s="19"/>
      <c r="P46" s="19"/>
      <c r="Q46" s="19"/>
      <c r="R46" s="19"/>
      <c r="S46" s="19"/>
      <c r="T46" s="19"/>
      <c r="U46" s="19"/>
    </row>
    <row r="47" spans="1:30" ht="170.25" customHeight="1" x14ac:dyDescent="0.45">
      <c r="A47" s="45" t="str">
        <f>Arbejdsark!$A$114</f>
        <v>Fleksibilitet</v>
      </c>
      <c r="B47" s="43" t="str">
        <f>Arbejdsark!$B$149</f>
        <v>2.8</v>
      </c>
      <c r="C47" s="45" t="str">
        <f>IF('Sortering af spørgsmål'!C13=Projektforudsætninger!$C$23,Arbejdsark!C149,"")</f>
        <v/>
      </c>
      <c r="D47" s="46" t="str">
        <f>Arbejdsark!D45</f>
        <v>ENV2.2
Vægtning: 60% af ENV2.2</v>
      </c>
      <c r="E47" s="45" t="str">
        <f>Arbejdsark!I45</f>
        <v>x</v>
      </c>
      <c r="F47" s="45">
        <f>Arbejdsark!J45</f>
        <v>0</v>
      </c>
      <c r="G47" s="45" t="e">
        <f>Arbejdsark!#REF!</f>
        <v>#REF!</v>
      </c>
      <c r="H47" s="45" t="e">
        <f>Arbejdsark!#REF!</f>
        <v>#REF!</v>
      </c>
      <c r="I47" s="45" t="str">
        <f>IF('Sortering af spørgsmål'!C13=Projektforudsætninger!$C$23,Arbejdsark!K149,"")</f>
        <v/>
      </c>
      <c r="J47" s="41" t="s">
        <v>9</v>
      </c>
      <c r="K47" s="41"/>
      <c r="L47" s="19"/>
      <c r="M47" s="19"/>
      <c r="N47" s="19"/>
      <c r="O47" s="19"/>
      <c r="P47" s="19"/>
      <c r="Q47" s="19"/>
      <c r="R47" s="19"/>
      <c r="S47" s="19"/>
      <c r="T47" s="19"/>
      <c r="U47" s="19"/>
    </row>
    <row r="48" spans="1:30" x14ac:dyDescent="0.45">
      <c r="A48" s="45"/>
      <c r="B48" s="45"/>
      <c r="C48" s="45"/>
      <c r="D48" s="46"/>
      <c r="E48" s="45"/>
      <c r="F48" s="45"/>
      <c r="G48" s="45"/>
      <c r="H48" s="45"/>
      <c r="I48" s="45"/>
      <c r="J48" s="47"/>
      <c r="K48" s="47"/>
      <c r="L48" s="19"/>
      <c r="M48" s="19"/>
      <c r="N48" s="19"/>
      <c r="O48" s="19"/>
      <c r="P48" s="19"/>
      <c r="Q48" s="19"/>
      <c r="R48" s="19"/>
      <c r="S48" s="19"/>
      <c r="T48" s="19"/>
      <c r="U48" s="19"/>
    </row>
    <row r="49" spans="1:21" ht="28.5" customHeight="1" x14ac:dyDescent="0.45">
      <c r="A49" s="66" t="str">
        <f>Arbejdsark!$A$154</f>
        <v>Robusthed</v>
      </c>
      <c r="B49" s="36">
        <v>3</v>
      </c>
      <c r="C49" s="66"/>
      <c r="D49" s="66"/>
      <c r="E49" s="66"/>
      <c r="F49" s="66"/>
      <c r="G49" s="66"/>
      <c r="H49" s="66"/>
      <c r="I49" s="36" t="str">
        <f>IF('Sortering af spørgsmål'!$C$14=Projektforudsætninger!$C$23,"Udfyld spørgsmål","Ingen spørgsmål")</f>
        <v>Ingen spørgsmål</v>
      </c>
      <c r="J49" s="39"/>
      <c r="K49" s="39"/>
      <c r="L49" s="19"/>
      <c r="M49" s="19"/>
      <c r="N49" s="19"/>
      <c r="O49" s="19"/>
      <c r="P49" s="19"/>
      <c r="Q49" s="19"/>
      <c r="R49" s="19"/>
      <c r="S49" s="19"/>
      <c r="T49" s="19"/>
      <c r="U49" s="19"/>
    </row>
    <row r="50" spans="1:21" ht="70.900000000000006" customHeight="1" x14ac:dyDescent="0.45">
      <c r="A50" s="45" t="str">
        <f>Arbejdsark!$A$154</f>
        <v>Robusthed</v>
      </c>
      <c r="B50" s="43" t="str">
        <f>Arbejdsark!$B$154</f>
        <v>3.1</v>
      </c>
      <c r="C50" s="45" t="str">
        <f>IF('Sortering af spørgsmål'!$C$14=Projektforudsætninger!$C$23,Arbejdsark!C154,"")</f>
        <v/>
      </c>
      <c r="D50" s="46">
        <f>Arbejdsark!D47</f>
        <v>0</v>
      </c>
      <c r="E50" s="45">
        <f>Arbejdsark!I47</f>
        <v>0</v>
      </c>
      <c r="F50" s="45">
        <f>Arbejdsark!J47</f>
        <v>0</v>
      </c>
      <c r="G50" s="45" t="e">
        <f>Arbejdsark!#REF!</f>
        <v>#REF!</v>
      </c>
      <c r="H50" s="45" t="e">
        <f>Arbejdsark!#REF!</f>
        <v>#REF!</v>
      </c>
      <c r="I50" s="45" t="str">
        <f>IF('Sortering af spørgsmål'!$C$14=Projektforudsætninger!$C$23,Arbejdsark!K154,"")</f>
        <v/>
      </c>
      <c r="J50" s="41" t="s">
        <v>9</v>
      </c>
      <c r="K50" s="41"/>
      <c r="L50" s="19"/>
      <c r="M50" s="19"/>
      <c r="N50" s="19"/>
      <c r="O50" s="19"/>
      <c r="P50" s="19"/>
      <c r="Q50" s="19"/>
      <c r="R50" s="19"/>
      <c r="S50" s="19"/>
      <c r="T50" s="19"/>
      <c r="U50" s="19"/>
    </row>
    <row r="51" spans="1:21" ht="70.900000000000006" customHeight="1" x14ac:dyDescent="0.45">
      <c r="A51" s="45" t="str">
        <f>Arbejdsark!$A$154</f>
        <v>Robusthed</v>
      </c>
      <c r="B51" s="43" t="str">
        <f>Arbejdsark!$B$159</f>
        <v>3.2</v>
      </c>
      <c r="C51" s="45" t="str">
        <f>IF('Sortering af spørgsmål'!$C$14=Projektforudsætninger!$C$23,Arbejdsark!C159,"")</f>
        <v/>
      </c>
      <c r="D51" s="46">
        <f>Arbejdsark!D50</f>
        <v>0</v>
      </c>
      <c r="E51" s="45">
        <f>Arbejdsark!I50</f>
        <v>0</v>
      </c>
      <c r="F51" s="45">
        <f>Arbejdsark!J50</f>
        <v>0</v>
      </c>
      <c r="G51" s="45" t="e">
        <f>Arbejdsark!#REF!</f>
        <v>#REF!</v>
      </c>
      <c r="H51" s="45" t="e">
        <f>Arbejdsark!#REF!</f>
        <v>#REF!</v>
      </c>
      <c r="I51" s="45" t="str">
        <f>IF('Sortering af spørgsmål'!$C$14=Projektforudsætninger!$C$23,Arbejdsark!K159,"")</f>
        <v/>
      </c>
      <c r="J51" s="41" t="s">
        <v>9</v>
      </c>
      <c r="K51" s="41"/>
      <c r="L51" s="19"/>
      <c r="M51" s="19"/>
      <c r="N51" s="19"/>
      <c r="O51" s="19"/>
      <c r="P51" s="19"/>
      <c r="Q51" s="19"/>
      <c r="R51" s="19"/>
      <c r="S51" s="19"/>
      <c r="T51" s="19"/>
      <c r="U51" s="19"/>
    </row>
    <row r="52" spans="1:21" x14ac:dyDescent="0.45">
      <c r="A52" s="45"/>
      <c r="B52" s="45"/>
      <c r="C52" s="45"/>
      <c r="D52" s="46"/>
      <c r="E52" s="45"/>
      <c r="F52" s="45"/>
      <c r="G52" s="45"/>
      <c r="H52" s="45"/>
      <c r="I52" s="45"/>
      <c r="J52" s="47"/>
      <c r="K52" s="47"/>
      <c r="L52" s="19"/>
      <c r="M52" s="19"/>
      <c r="N52" s="19"/>
      <c r="O52" s="19"/>
      <c r="P52" s="19"/>
      <c r="Q52" s="19"/>
      <c r="R52" s="19"/>
      <c r="S52" s="19"/>
      <c r="T52" s="19"/>
      <c r="U52" s="19"/>
    </row>
    <row r="53" spans="1:21" ht="28.5" customHeight="1" x14ac:dyDescent="0.45">
      <c r="A53" s="56" t="str">
        <f>Arbejdsark!$A$165</f>
        <v>SOCIAL KVALITET</v>
      </c>
      <c r="B53" s="56"/>
      <c r="C53" s="56"/>
      <c r="D53" s="56"/>
      <c r="E53" s="56"/>
      <c r="F53" s="56"/>
      <c r="G53" s="56"/>
      <c r="H53" s="56"/>
      <c r="I53" s="57"/>
      <c r="J53" s="54"/>
      <c r="K53" s="54"/>
      <c r="L53" s="19"/>
      <c r="M53" s="19"/>
      <c r="N53" s="19"/>
      <c r="O53" s="19"/>
      <c r="P53" s="19"/>
      <c r="Q53" s="19"/>
      <c r="R53" s="19"/>
      <c r="S53" s="19"/>
      <c r="T53" s="19"/>
      <c r="U53" s="19"/>
    </row>
    <row r="54" spans="1:21" ht="28.5" customHeight="1" x14ac:dyDescent="0.45">
      <c r="A54" s="58" t="str">
        <f>$A$4</f>
        <v>Tema</v>
      </c>
      <c r="B54" s="58" t="s">
        <v>179</v>
      </c>
      <c r="C54" s="58" t="str">
        <f t="shared" ref="C54:I54" si="0">C4</f>
        <v>Emne</v>
      </c>
      <c r="D54" s="58" t="str">
        <f t="shared" si="0"/>
        <v>DGNB kriterium</v>
      </c>
      <c r="E54" s="58" t="str">
        <f t="shared" si="0"/>
        <v>Byggeudvalg eller Hovedbestyrelse</v>
      </c>
      <c r="F54" s="58" t="str">
        <f t="shared" si="0"/>
        <v>Projektleder</v>
      </c>
      <c r="G54" s="58" t="str">
        <f t="shared" si="0"/>
        <v>#REFERENCE!</v>
      </c>
      <c r="H54" s="58" t="str">
        <f t="shared" si="0"/>
        <v>Ikon</v>
      </c>
      <c r="I54" s="58" t="str">
        <f t="shared" si="0"/>
        <v>Spørgsmål</v>
      </c>
      <c r="J54" s="59" t="str">
        <f>$J$4</f>
        <v>Svar</v>
      </c>
      <c r="K54" s="59" t="str">
        <f>K4</f>
        <v>Uddybende kommentarer</v>
      </c>
      <c r="L54" s="19"/>
      <c r="M54" s="19"/>
      <c r="N54" s="19"/>
      <c r="O54" s="19"/>
      <c r="P54" s="19"/>
      <c r="Q54" s="19"/>
      <c r="R54" s="19"/>
      <c r="S54" s="19"/>
      <c r="T54" s="19"/>
      <c r="U54" s="19"/>
    </row>
    <row r="55" spans="1:21" ht="28.5" customHeight="1" x14ac:dyDescent="0.45">
      <c r="A55" s="56" t="str">
        <f>Arbejdsark!$A$167</f>
        <v>Indeklima</v>
      </c>
      <c r="B55" s="56">
        <v>1</v>
      </c>
      <c r="C55" s="56"/>
      <c r="D55" s="56"/>
      <c r="E55" s="56"/>
      <c r="F55" s="56"/>
      <c r="G55" s="56"/>
      <c r="H55" s="56"/>
      <c r="I55" s="57" t="str">
        <f>IF('Sortering af spørgsmål'!$C$15=Projektforudsætninger!$C$23,"Udfyld spørgsmål","Ingen spørgsmål")</f>
        <v>Ingen spørgsmål</v>
      </c>
      <c r="J55" s="54"/>
      <c r="K55" s="54"/>
      <c r="L55" s="19"/>
      <c r="M55" s="19"/>
      <c r="N55" s="19"/>
      <c r="O55" s="19"/>
      <c r="P55" s="19"/>
      <c r="Q55" s="19"/>
      <c r="R55" s="19"/>
      <c r="S55" s="19"/>
      <c r="T55" s="19"/>
      <c r="U55" s="19"/>
    </row>
    <row r="56" spans="1:21" ht="170.25" customHeight="1" x14ac:dyDescent="0.45">
      <c r="A56" s="58" t="str">
        <f>Arbejdsark!$A$167</f>
        <v>Indeklima</v>
      </c>
      <c r="B56" s="43" t="str">
        <f>Arbejdsark!$B$167</f>
        <v>1.1</v>
      </c>
      <c r="C56" s="45" t="str">
        <f>IF('Sortering af spørgsmål'!$C$15=Projektforudsætninger!$C$23,Arbejdsark!C167,"")</f>
        <v/>
      </c>
      <c r="D56" s="46">
        <f>Arbejdsark!D57</f>
        <v>0</v>
      </c>
      <c r="E56" s="45">
        <f>Arbejdsark!I57</f>
        <v>0</v>
      </c>
      <c r="F56" s="45">
        <f>Arbejdsark!J57</f>
        <v>0</v>
      </c>
      <c r="G56" s="45" t="e">
        <f>Arbejdsark!#REF!</f>
        <v>#REF!</v>
      </c>
      <c r="H56" s="45" t="e">
        <f>Arbejdsark!#REF!</f>
        <v>#REF!</v>
      </c>
      <c r="I56" s="45" t="str">
        <f>IF('Sortering af spørgsmål'!$C$15=Projektforudsætninger!$C$23,Arbejdsark!K167,"")</f>
        <v/>
      </c>
      <c r="J56" s="41" t="s">
        <v>9</v>
      </c>
      <c r="K56" s="41"/>
      <c r="L56" s="19"/>
      <c r="M56" s="19"/>
      <c r="N56" s="19"/>
      <c r="O56" s="19"/>
      <c r="P56" s="19"/>
      <c r="Q56" s="19"/>
      <c r="R56" s="19"/>
      <c r="S56" s="19"/>
      <c r="T56" s="19"/>
      <c r="U56" s="19"/>
    </row>
    <row r="57" spans="1:21" ht="113.65" customHeight="1" x14ac:dyDescent="0.45">
      <c r="A57" s="58" t="str">
        <f>Arbejdsark!$A$167</f>
        <v>Indeklima</v>
      </c>
      <c r="B57" s="43" t="str">
        <f>Arbejdsark!$B$172</f>
        <v>1.2</v>
      </c>
      <c r="C57" s="45" t="str">
        <f>IF('Sortering af spørgsmål'!$C$15=Projektforudsætninger!$C$23,Arbejdsark!C172,"")</f>
        <v/>
      </c>
      <c r="D57" s="46" t="str">
        <f>Arbejdsark!D58</f>
        <v>Vægtning: SOC1.6 pkt. 2.4</v>
      </c>
      <c r="E57" s="45" t="str">
        <f>Arbejdsark!I58</f>
        <v>x</v>
      </c>
      <c r="F57" s="45">
        <f>Arbejdsark!J58</f>
        <v>0</v>
      </c>
      <c r="G57" s="45" t="e">
        <f>Arbejdsark!#REF!</f>
        <v>#REF!</v>
      </c>
      <c r="H57" s="45" t="e">
        <f>Arbejdsark!#REF!</f>
        <v>#REF!</v>
      </c>
      <c r="I57" s="45" t="str">
        <f>IF('Sortering af spørgsmål'!$C$15=Projektforudsætninger!$C$23,Arbejdsark!K172,"")</f>
        <v/>
      </c>
      <c r="J57" s="41" t="s">
        <v>9</v>
      </c>
      <c r="K57" s="41"/>
      <c r="L57" s="19"/>
      <c r="M57" s="19"/>
      <c r="N57" s="19"/>
      <c r="O57" s="19"/>
      <c r="P57" s="19"/>
      <c r="Q57" s="19"/>
      <c r="R57" s="19"/>
      <c r="S57" s="19"/>
      <c r="T57" s="19"/>
      <c r="U57" s="19"/>
    </row>
    <row r="58" spans="1:21" ht="113.65" customHeight="1" x14ac:dyDescent="0.45">
      <c r="A58" s="58" t="str">
        <f>Arbejdsark!$A$167</f>
        <v>Indeklima</v>
      </c>
      <c r="B58" s="43" t="str">
        <f>Arbejdsark!$B$177</f>
        <v>1.3</v>
      </c>
      <c r="C58" s="45" t="str">
        <f>IF('Sortering af spørgsmål'!$C$15=Projektforudsætninger!$C$23,Arbejdsark!C177,"")</f>
        <v/>
      </c>
      <c r="D58" s="46">
        <f>Arbejdsark!D59</f>
        <v>0</v>
      </c>
      <c r="E58" s="45">
        <f>Arbejdsark!I59</f>
        <v>0</v>
      </c>
      <c r="F58" s="45">
        <f>Arbejdsark!J59</f>
        <v>0</v>
      </c>
      <c r="G58" s="45" t="e">
        <f>Arbejdsark!#REF!</f>
        <v>#REF!</v>
      </c>
      <c r="H58" s="45" t="e">
        <f>Arbejdsark!#REF!</f>
        <v>#REF!</v>
      </c>
      <c r="I58" s="45" t="str">
        <f>IF('Sortering af spørgsmål'!$C$15=Projektforudsætninger!$C$23,Arbejdsark!K177,"")</f>
        <v/>
      </c>
      <c r="J58" s="41" t="s">
        <v>9</v>
      </c>
      <c r="K58" s="41"/>
      <c r="L58" s="19"/>
      <c r="M58" s="19"/>
      <c r="N58" s="19"/>
      <c r="O58" s="19"/>
      <c r="P58" s="19"/>
      <c r="Q58" s="19"/>
      <c r="R58" s="19"/>
      <c r="S58" s="19"/>
      <c r="T58" s="19"/>
      <c r="U58" s="19"/>
    </row>
    <row r="59" spans="1:21" ht="170.25" customHeight="1" x14ac:dyDescent="0.45">
      <c r="A59" s="58" t="str">
        <f>Arbejdsark!$A$167</f>
        <v>Indeklima</v>
      </c>
      <c r="B59" s="43" t="str">
        <f>Arbejdsark!$B$182</f>
        <v>1.4</v>
      </c>
      <c r="C59" s="45" t="str">
        <f>IF('Sortering af spørgsmål'!$C$15=Projektforudsætninger!$C$23,Arbejdsark!C182,"")</f>
        <v/>
      </c>
      <c r="D59" s="46" t="str">
        <f>Arbejdsark!D58</f>
        <v>Vægtning: SOC1.6 pkt. 2.4</v>
      </c>
      <c r="E59" s="45" t="str">
        <f>Arbejdsark!I58</f>
        <v>x</v>
      </c>
      <c r="F59" s="45">
        <f>Arbejdsark!J58</f>
        <v>0</v>
      </c>
      <c r="G59" s="45" t="e">
        <f>Arbejdsark!#REF!</f>
        <v>#REF!</v>
      </c>
      <c r="H59" s="45" t="e">
        <f>Arbejdsark!#REF!</f>
        <v>#REF!</v>
      </c>
      <c r="I59" s="45" t="str">
        <f>IF('Sortering af spørgsmål'!$C$15=Projektforudsætninger!$C$23,Arbejdsark!K182,"")</f>
        <v/>
      </c>
      <c r="J59" s="41" t="s">
        <v>9</v>
      </c>
      <c r="K59" s="41"/>
      <c r="L59" s="19"/>
      <c r="M59" s="19"/>
      <c r="N59" s="19"/>
      <c r="O59" s="19"/>
      <c r="P59" s="19"/>
      <c r="Q59" s="19"/>
      <c r="R59" s="19"/>
      <c r="S59" s="19"/>
      <c r="T59" s="19"/>
      <c r="U59" s="19"/>
    </row>
    <row r="60" spans="1:21" ht="183" customHeight="1" x14ac:dyDescent="0.45">
      <c r="A60" s="58" t="str">
        <f>Arbejdsark!$A$167</f>
        <v>Indeklima</v>
      </c>
      <c r="B60" s="43" t="str">
        <f>Arbejdsark!$B$187</f>
        <v>1.5</v>
      </c>
      <c r="C60" s="45" t="str">
        <f>IF('Sortering af spørgsmål'!$C$15=Projektforudsætninger!$C$23,Arbejdsark!C187,"")</f>
        <v/>
      </c>
      <c r="D60" s="46">
        <f>Arbejdsark!D59</f>
        <v>0</v>
      </c>
      <c r="E60" s="45">
        <f>Arbejdsark!I59</f>
        <v>0</v>
      </c>
      <c r="F60" s="45">
        <f>Arbejdsark!J59</f>
        <v>0</v>
      </c>
      <c r="G60" s="45" t="e">
        <f>Arbejdsark!#REF!</f>
        <v>#REF!</v>
      </c>
      <c r="H60" s="45" t="e">
        <f>Arbejdsark!#REF!</f>
        <v>#REF!</v>
      </c>
      <c r="I60" s="45" t="str">
        <f>IF('Sortering af spørgsmål'!$C$15=Projektforudsætninger!$C$23,Arbejdsark!K187,"")</f>
        <v/>
      </c>
      <c r="J60" s="41" t="s">
        <v>9</v>
      </c>
      <c r="K60" s="41"/>
      <c r="L60" s="19"/>
      <c r="M60" s="19"/>
      <c r="N60" s="19"/>
      <c r="O60" s="19"/>
      <c r="P60" s="19"/>
      <c r="Q60" s="19"/>
      <c r="R60" s="19"/>
      <c r="S60" s="19"/>
      <c r="T60" s="19"/>
      <c r="U60" s="19"/>
    </row>
    <row r="61" spans="1:21" ht="85.15" customHeight="1" x14ac:dyDescent="0.45">
      <c r="A61" s="58" t="str">
        <f>Arbejdsark!$A$167</f>
        <v>Indeklima</v>
      </c>
      <c r="B61" s="43" t="str">
        <f>Arbejdsark!$B$192</f>
        <v>1.6</v>
      </c>
      <c r="C61" s="45" t="str">
        <f>IF('Sortering af spørgsmål'!$C$15=Projektforudsætninger!$C$23,Arbejdsark!C192,"")</f>
        <v/>
      </c>
      <c r="D61" s="46"/>
      <c r="E61" s="45"/>
      <c r="F61" s="45"/>
      <c r="G61" s="45"/>
      <c r="H61" s="45"/>
      <c r="I61" s="45" t="str">
        <f>IF('Sortering af spørgsmål'!$C$15=Projektforudsætninger!$C$23,Arbejdsark!K192,"")</f>
        <v/>
      </c>
      <c r="J61" s="41" t="s">
        <v>9</v>
      </c>
      <c r="K61" s="41"/>
      <c r="L61" s="19"/>
      <c r="M61" s="19"/>
      <c r="N61" s="19"/>
      <c r="O61" s="19"/>
      <c r="P61" s="19"/>
      <c r="Q61" s="19"/>
      <c r="R61" s="19"/>
      <c r="S61" s="19"/>
      <c r="T61" s="19"/>
      <c r="U61" s="19"/>
    </row>
    <row r="62" spans="1:21" ht="141.75" customHeight="1" x14ac:dyDescent="0.45">
      <c r="A62" s="58" t="str">
        <f>Arbejdsark!$A$167</f>
        <v>Indeklima</v>
      </c>
      <c r="B62" s="43" t="str">
        <f>Arbejdsark!$B$197</f>
        <v>1.7</v>
      </c>
      <c r="C62" s="45" t="str">
        <f>IF('Sortering af spørgsmål'!$C$15=Projektforudsætninger!$C$23,Arbejdsark!C197,"")</f>
        <v/>
      </c>
      <c r="D62" s="46">
        <f>Arbejdsark!D60</f>
        <v>0</v>
      </c>
      <c r="E62" s="45">
        <f>Arbejdsark!I60</f>
        <v>0</v>
      </c>
      <c r="F62" s="45">
        <f>Arbejdsark!J60</f>
        <v>0</v>
      </c>
      <c r="G62" s="45" t="e">
        <f>Arbejdsark!#REF!</f>
        <v>#REF!</v>
      </c>
      <c r="H62" s="45" t="e">
        <f>Arbejdsark!#REF!</f>
        <v>#REF!</v>
      </c>
      <c r="I62" s="45" t="str">
        <f>IF('Sortering af spørgsmål'!$C$15=Projektforudsætninger!$C$23,Arbejdsark!K197,"")</f>
        <v/>
      </c>
      <c r="J62" s="41" t="s">
        <v>9</v>
      </c>
      <c r="K62" s="41"/>
      <c r="L62" s="19"/>
      <c r="M62" s="19"/>
      <c r="N62" s="19"/>
      <c r="O62" s="19"/>
      <c r="P62" s="19"/>
      <c r="Q62" s="19"/>
      <c r="R62" s="19"/>
      <c r="S62" s="19"/>
      <c r="T62" s="19"/>
      <c r="U62" s="19"/>
    </row>
    <row r="63" spans="1:21" ht="141.75" customHeight="1" x14ac:dyDescent="0.45">
      <c r="A63" s="58" t="str">
        <f>Arbejdsark!$A$167</f>
        <v>Indeklima</v>
      </c>
      <c r="B63" s="43" t="str">
        <f>Arbejdsark!$B$202</f>
        <v>1.8</v>
      </c>
      <c r="C63" s="45" t="str">
        <f>IF('Sortering af spørgsmål'!$C$15=Projektforudsætninger!$C$23,Arbejdsark!C202,"")</f>
        <v/>
      </c>
      <c r="D63" s="46">
        <f>Arbejdsark!D61</f>
        <v>0</v>
      </c>
      <c r="E63" s="45">
        <f>Arbejdsark!I61</f>
        <v>0</v>
      </c>
      <c r="F63" s="45">
        <f>Arbejdsark!J61</f>
        <v>0</v>
      </c>
      <c r="G63" s="45" t="e">
        <f>Arbejdsark!#REF!</f>
        <v>#REF!</v>
      </c>
      <c r="H63" s="45" t="e">
        <f>Arbejdsark!#REF!</f>
        <v>#REF!</v>
      </c>
      <c r="I63" s="45" t="str">
        <f>IF('Sortering af spørgsmål'!$C$15=Projektforudsætninger!$C$23,Arbejdsark!K202,"")</f>
        <v/>
      </c>
      <c r="J63" s="41" t="s">
        <v>9</v>
      </c>
      <c r="K63" s="41"/>
      <c r="L63" s="19"/>
      <c r="M63" s="19"/>
      <c r="N63" s="19"/>
      <c r="O63" s="19"/>
      <c r="P63" s="19"/>
      <c r="Q63" s="19"/>
      <c r="R63" s="19"/>
      <c r="S63" s="19"/>
      <c r="T63" s="19"/>
      <c r="U63" s="19"/>
    </row>
    <row r="64" spans="1:21" ht="85.15" customHeight="1" x14ac:dyDescent="0.45">
      <c r="A64" s="58" t="str">
        <f>Arbejdsark!$A$167</f>
        <v>Indeklima</v>
      </c>
      <c r="B64" s="43" t="str">
        <f>Arbejdsark!$B$207</f>
        <v>1.9</v>
      </c>
      <c r="C64" s="45" t="str">
        <f>IF('Sortering af spørgsmål'!$C$15=Projektforudsætninger!$C$23,Arbejdsark!C207,"")</f>
        <v/>
      </c>
      <c r="D64" s="46">
        <f>Arbejdsark!D62</f>
        <v>0</v>
      </c>
      <c r="E64" s="45">
        <f>Arbejdsark!I62</f>
        <v>0</v>
      </c>
      <c r="F64" s="45">
        <f>Arbejdsark!J62</f>
        <v>0</v>
      </c>
      <c r="G64" s="45" t="e">
        <f>Arbejdsark!#REF!</f>
        <v>#REF!</v>
      </c>
      <c r="H64" s="45" t="e">
        <f>Arbejdsark!#REF!</f>
        <v>#REF!</v>
      </c>
      <c r="I64" s="45" t="str">
        <f>IF('Sortering af spørgsmål'!$C$15=Projektforudsætninger!$C$23,Arbejdsark!K207,"")</f>
        <v/>
      </c>
      <c r="J64" s="41" t="s">
        <v>9</v>
      </c>
      <c r="K64" s="41"/>
      <c r="L64" s="19"/>
      <c r="M64" s="19"/>
      <c r="N64" s="19"/>
      <c r="O64" s="19"/>
      <c r="P64" s="19"/>
      <c r="Q64" s="19"/>
      <c r="R64" s="19"/>
      <c r="S64" s="19"/>
      <c r="T64" s="19"/>
      <c r="U64" s="19"/>
    </row>
    <row r="65" spans="1:21" ht="127.5" customHeight="1" x14ac:dyDescent="0.45">
      <c r="A65" s="58" t="str">
        <f>Arbejdsark!$A$167</f>
        <v>Indeklima</v>
      </c>
      <c r="B65" s="43" t="str">
        <f>Arbejdsark!$B$212</f>
        <v>1.10</v>
      </c>
      <c r="C65" s="45" t="str">
        <f>IF('Sortering af spørgsmål'!$C$15=Projektforudsætninger!$C$23,Arbejdsark!C212,"")</f>
        <v/>
      </c>
      <c r="D65" s="46" t="str">
        <f>Arbejdsark!D63</f>
        <v>SOC1.6
Vægtning: 20% af SOC1.6 pkt 2.8</v>
      </c>
      <c r="E65" s="45" t="str">
        <f>Arbejdsark!I63</f>
        <v>x</v>
      </c>
      <c r="F65" s="45">
        <f>Arbejdsark!J63</f>
        <v>0</v>
      </c>
      <c r="G65" s="45" t="e">
        <f>Arbejdsark!#REF!</f>
        <v>#REF!</v>
      </c>
      <c r="H65" s="45" t="e">
        <f>Arbejdsark!#REF!</f>
        <v>#REF!</v>
      </c>
      <c r="I65" s="45" t="str">
        <f>IF('Sortering af spørgsmål'!$C$15=Projektforudsætninger!$C$23,Arbejdsark!K212,"")</f>
        <v/>
      </c>
      <c r="J65" s="41" t="s">
        <v>9</v>
      </c>
      <c r="K65" s="41"/>
      <c r="L65" s="19"/>
      <c r="M65" s="19"/>
      <c r="N65" s="19"/>
      <c r="O65" s="19"/>
      <c r="P65" s="19"/>
      <c r="Q65" s="19"/>
      <c r="R65" s="19"/>
      <c r="S65" s="19"/>
      <c r="T65" s="19"/>
      <c r="U65" s="19"/>
    </row>
    <row r="66" spans="1:21" x14ac:dyDescent="0.45">
      <c r="A66" s="45"/>
      <c r="B66" s="45"/>
      <c r="C66" s="45"/>
      <c r="D66" s="46"/>
      <c r="E66" s="45"/>
      <c r="F66" s="45"/>
      <c r="G66" s="45"/>
      <c r="H66" s="45"/>
      <c r="I66" s="45"/>
      <c r="J66" s="47"/>
      <c r="K66" s="47"/>
      <c r="L66" s="19"/>
      <c r="M66" s="19"/>
      <c r="N66" s="19"/>
      <c r="O66" s="19"/>
      <c r="P66" s="19"/>
      <c r="Q66" s="19"/>
      <c r="R66" s="19"/>
      <c r="S66" s="19"/>
      <c r="T66" s="19"/>
      <c r="U66" s="19"/>
    </row>
    <row r="67" spans="1:21" ht="28.5" customHeight="1" x14ac:dyDescent="0.45">
      <c r="A67" s="56" t="str">
        <f>Arbejdsark!$A$217</f>
        <v>Brugerstyring</v>
      </c>
      <c r="B67" s="57">
        <v>2</v>
      </c>
      <c r="C67" s="56"/>
      <c r="D67" s="56"/>
      <c r="E67" s="56"/>
      <c r="F67" s="56"/>
      <c r="G67" s="56"/>
      <c r="H67" s="56"/>
      <c r="I67" s="57" t="str">
        <f>IF('Sortering af spørgsmål'!$C$16=Projektforudsætninger!$C$23,"Udfyld spørgsmål","Ingen spørgsmål")</f>
        <v>Ingen spørgsmål</v>
      </c>
      <c r="J67" s="54"/>
      <c r="K67" s="54"/>
      <c r="L67" s="19"/>
      <c r="M67" s="19"/>
      <c r="N67" s="19"/>
      <c r="O67" s="19"/>
      <c r="P67" s="19"/>
      <c r="Q67" s="19"/>
      <c r="R67" s="19"/>
      <c r="S67" s="19"/>
      <c r="T67" s="19"/>
      <c r="U67" s="19"/>
    </row>
    <row r="68" spans="1:21" ht="85.15" customHeight="1" x14ac:dyDescent="0.45">
      <c r="A68" s="45" t="str">
        <f>Arbejdsark!$A$217</f>
        <v>Brugerstyring</v>
      </c>
      <c r="B68" s="43" t="str">
        <f>Arbejdsark!$B$217</f>
        <v>2.1</v>
      </c>
      <c r="C68" s="45" t="str">
        <f>IF('Sortering af spørgsmål'!$C$16=Projektforudsætninger!$C$23,Arbejdsark!C217,"")</f>
        <v/>
      </c>
      <c r="D68" s="46">
        <f>Arbejdsark!D62</f>
        <v>0</v>
      </c>
      <c r="E68" s="45">
        <f>Arbejdsark!I62</f>
        <v>0</v>
      </c>
      <c r="F68" s="45">
        <f>Arbejdsark!J62</f>
        <v>0</v>
      </c>
      <c r="G68" s="45" t="e">
        <f>Arbejdsark!#REF!</f>
        <v>#REF!</v>
      </c>
      <c r="H68" s="45" t="e">
        <f>Arbejdsark!#REF!</f>
        <v>#REF!</v>
      </c>
      <c r="I68" s="45" t="str">
        <f>IF('Sortering af spørgsmål'!$C$16=Projektforudsætninger!$C$23,Arbejdsark!K217,"")</f>
        <v/>
      </c>
      <c r="J68" s="41" t="s">
        <v>9</v>
      </c>
      <c r="K68" s="41"/>
      <c r="L68" s="19"/>
      <c r="M68" s="19"/>
      <c r="N68" s="19"/>
      <c r="O68" s="19"/>
      <c r="P68" s="19"/>
      <c r="Q68" s="19"/>
      <c r="R68" s="19"/>
      <c r="S68" s="19"/>
      <c r="T68" s="19"/>
      <c r="U68" s="19"/>
    </row>
    <row r="69" spans="1:21" ht="85.15" customHeight="1" x14ac:dyDescent="0.45">
      <c r="A69" s="45" t="str">
        <f>Arbejdsark!$A$217</f>
        <v>Brugerstyring</v>
      </c>
      <c r="B69" s="43" t="str">
        <f>Arbejdsark!$B$222</f>
        <v>2.2</v>
      </c>
      <c r="C69" s="45" t="str">
        <f>IF('Sortering af spørgsmål'!$C$16=Projektforudsætninger!$C$23,Arbejdsark!C222,"")</f>
        <v/>
      </c>
      <c r="D69" s="46" t="str">
        <f>Arbejdsark!D63</f>
        <v>SOC1.6
Vægtning: 20% af SOC1.6 pkt 2.8</v>
      </c>
      <c r="E69" s="45" t="str">
        <f>Arbejdsark!I63</f>
        <v>x</v>
      </c>
      <c r="F69" s="45">
        <f>Arbejdsark!J63</f>
        <v>0</v>
      </c>
      <c r="G69" s="45" t="e">
        <f>Arbejdsark!#REF!</f>
        <v>#REF!</v>
      </c>
      <c r="H69" s="45" t="e">
        <f>Arbejdsark!#REF!</f>
        <v>#REF!</v>
      </c>
      <c r="I69" s="45" t="str">
        <f>IF('Sortering af spørgsmål'!$C$16=Projektforudsætninger!$C$23,Arbejdsark!K222,"")</f>
        <v/>
      </c>
      <c r="J69" s="41" t="s">
        <v>9</v>
      </c>
      <c r="K69" s="41"/>
      <c r="L69" s="19"/>
      <c r="M69" s="19"/>
      <c r="N69" s="19"/>
      <c r="O69" s="19"/>
      <c r="P69" s="19"/>
      <c r="Q69" s="19"/>
      <c r="R69" s="19"/>
      <c r="S69" s="19"/>
      <c r="T69" s="19"/>
      <c r="U69" s="19"/>
    </row>
    <row r="70" spans="1:21" ht="85.15" customHeight="1" x14ac:dyDescent="0.45">
      <c r="A70" s="45" t="str">
        <f>Arbejdsark!$A$217</f>
        <v>Brugerstyring</v>
      </c>
      <c r="B70" s="43" t="str">
        <f>Arbejdsark!$B$227</f>
        <v>2.3</v>
      </c>
      <c r="C70" s="45" t="str">
        <f>IF('Sortering af spørgsmål'!$C$16=Projektforudsætninger!$C$23,Arbejdsark!C227,"")</f>
        <v/>
      </c>
      <c r="D70" s="46">
        <f>Arbejdsark!D64</f>
        <v>0</v>
      </c>
      <c r="E70" s="45">
        <f>Arbejdsark!I64</f>
        <v>0</v>
      </c>
      <c r="F70" s="45">
        <f>Arbejdsark!J64</f>
        <v>0</v>
      </c>
      <c r="G70" s="45" t="e">
        <f>Arbejdsark!#REF!</f>
        <v>#REF!</v>
      </c>
      <c r="H70" s="45" t="e">
        <f>Arbejdsark!#REF!</f>
        <v>#REF!</v>
      </c>
      <c r="I70" s="45" t="str">
        <f>IF('Sortering af spørgsmål'!$C$16=Projektforudsætninger!$C$23,Arbejdsark!K227,"")</f>
        <v/>
      </c>
      <c r="J70" s="41" t="s">
        <v>9</v>
      </c>
      <c r="K70" s="41"/>
      <c r="L70" s="19"/>
      <c r="M70" s="19"/>
      <c r="N70" s="19"/>
      <c r="O70" s="19"/>
      <c r="P70" s="19"/>
      <c r="Q70" s="19"/>
      <c r="R70" s="19"/>
      <c r="S70" s="19"/>
      <c r="T70" s="19"/>
      <c r="U70" s="19"/>
    </row>
    <row r="71" spans="1:21" x14ac:dyDescent="0.45">
      <c r="A71" s="45"/>
      <c r="B71" s="45"/>
      <c r="C71" s="45"/>
      <c r="D71" s="46"/>
      <c r="E71" s="45"/>
      <c r="F71" s="45"/>
      <c r="G71" s="45"/>
      <c r="H71" s="45"/>
      <c r="I71" s="45"/>
      <c r="J71" s="47"/>
      <c r="K71" s="47"/>
      <c r="L71" s="19"/>
      <c r="M71" s="19"/>
      <c r="N71" s="19"/>
      <c r="O71" s="19"/>
      <c r="P71" s="19"/>
      <c r="Q71" s="19"/>
      <c r="R71" s="19"/>
      <c r="S71" s="19"/>
      <c r="T71" s="19"/>
      <c r="U71" s="19"/>
    </row>
    <row r="72" spans="1:21" ht="28.5" customHeight="1" x14ac:dyDescent="0.45">
      <c r="A72" s="56" t="str">
        <f>Arbejdsark!$A$234</f>
        <v>Tilgængelighed</v>
      </c>
      <c r="B72" s="57">
        <v>3</v>
      </c>
      <c r="C72" s="56"/>
      <c r="D72" s="56"/>
      <c r="E72" s="56"/>
      <c r="F72" s="56"/>
      <c r="G72" s="56"/>
      <c r="H72" s="56"/>
      <c r="I72" s="57" t="str">
        <f>IF('Sortering af spørgsmål'!$C$17=Projektforudsætninger!$C$23,"Udfyld spørgsmål","Ingen spørgsmål")</f>
        <v>Ingen spørgsmål</v>
      </c>
      <c r="J72" s="54"/>
      <c r="K72" s="54"/>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spørgsmål'!$C$17=Projektforudsætninger!$C$23,Arbejdsark!C234,"")</f>
        <v/>
      </c>
      <c r="D73" s="46">
        <f>Arbejdsark!D67</f>
        <v>0</v>
      </c>
      <c r="E73" s="45">
        <f>Arbejdsark!I67</f>
        <v>0</v>
      </c>
      <c r="F73" s="45">
        <f>Arbejdsark!J67</f>
        <v>0</v>
      </c>
      <c r="G73" s="45" t="e">
        <f>Arbejdsark!#REF!</f>
        <v>#REF!</v>
      </c>
      <c r="H73" s="45" t="e">
        <f>Arbejdsark!#REF!</f>
        <v>#REF!</v>
      </c>
      <c r="I73" s="45" t="str">
        <f>IF('Sortering af spørgsmål'!$C$17=Projektforudsætninger!$C$23,Arbejdsark!K234,"")</f>
        <v/>
      </c>
      <c r="J73" s="41" t="s">
        <v>9</v>
      </c>
      <c r="K73" s="41"/>
      <c r="L73" s="19"/>
      <c r="M73" s="19"/>
      <c r="N73" s="19"/>
      <c r="O73" s="19"/>
      <c r="P73" s="19"/>
      <c r="Q73" s="19"/>
      <c r="R73" s="19"/>
      <c r="S73" s="19"/>
      <c r="T73" s="19"/>
      <c r="U73" s="19"/>
    </row>
    <row r="74" spans="1:21" ht="170.25" customHeight="1" x14ac:dyDescent="0.45">
      <c r="A74" s="45" t="str">
        <f>Arbejdsark!$A$234</f>
        <v>Tilgængelighed</v>
      </c>
      <c r="B74" s="43" t="e">
        <f>Arbejdsark!#REF!</f>
        <v>#REF!</v>
      </c>
      <c r="C74" s="45" t="str">
        <f>IF('Sortering af spørgsmål'!$C$17=Projektforudsætninger!$C$23,Arbejdsark!#REF!,"")</f>
        <v/>
      </c>
      <c r="D74" s="46">
        <f>Arbejdsark!D74</f>
        <v>0</v>
      </c>
      <c r="E74" s="45">
        <f>Arbejdsark!I74</f>
        <v>0</v>
      </c>
      <c r="F74" s="45">
        <f>Arbejdsark!J74</f>
        <v>0</v>
      </c>
      <c r="G74" s="45" t="e">
        <f>Arbejdsark!#REF!</f>
        <v>#REF!</v>
      </c>
      <c r="H74" s="45" t="e">
        <f>Arbejdsark!#REF!</f>
        <v>#REF!</v>
      </c>
      <c r="I74" s="45" t="str">
        <f>IF('Sortering af spørgsmål'!$C$17=Projektforudsætninger!$C$23,Arbejdsark!#REF!,"")</f>
        <v/>
      </c>
      <c r="J74" s="41" t="s">
        <v>9</v>
      </c>
      <c r="K74" s="41"/>
      <c r="L74" s="19"/>
      <c r="M74" s="19"/>
      <c r="N74" s="19"/>
      <c r="O74" s="19"/>
      <c r="P74" s="19"/>
      <c r="Q74" s="19"/>
      <c r="R74" s="19"/>
      <c r="S74" s="19"/>
      <c r="T74" s="19"/>
      <c r="U74" s="19"/>
    </row>
    <row r="75" spans="1:21" x14ac:dyDescent="0.45">
      <c r="A75" s="45"/>
      <c r="B75" s="45"/>
      <c r="C75" s="45"/>
      <c r="D75" s="46"/>
      <c r="E75" s="45"/>
      <c r="F75" s="45"/>
      <c r="G75" s="45"/>
      <c r="H75" s="45"/>
      <c r="I75" s="45"/>
      <c r="J75" s="47"/>
      <c r="K75" s="47"/>
      <c r="L75" s="19"/>
      <c r="M75" s="19"/>
      <c r="N75" s="19"/>
      <c r="O75" s="19"/>
      <c r="P75" s="19"/>
      <c r="Q75" s="19"/>
      <c r="R75" s="19"/>
      <c r="S75" s="19"/>
      <c r="T75" s="19"/>
      <c r="U75" s="19"/>
    </row>
    <row r="76" spans="1:21" ht="28.5" customHeight="1" x14ac:dyDescent="0.45">
      <c r="A76" s="56" t="str">
        <f>Arbejdsark!$A$239</f>
        <v>Udearealer</v>
      </c>
      <c r="B76" s="57">
        <v>4</v>
      </c>
      <c r="C76" s="56"/>
      <c r="D76" s="56"/>
      <c r="E76" s="56"/>
      <c r="F76" s="56"/>
      <c r="G76" s="56"/>
      <c r="H76" s="56"/>
      <c r="I76" s="57" t="str">
        <f>IF('Sortering af spørgsmål'!$C$18=Projektforudsætninger!$C$23,"Udfyld spørgsmål","Ingen spørgsmål")</f>
        <v>Ingen spørgsmål</v>
      </c>
      <c r="J76" s="54"/>
      <c r="K76" s="54"/>
      <c r="L76" s="19"/>
      <c r="M76" s="19"/>
      <c r="N76" s="19"/>
      <c r="O76" s="19"/>
      <c r="P76" s="19"/>
      <c r="Q76" s="19"/>
      <c r="R76" s="19"/>
      <c r="S76" s="19"/>
      <c r="T76" s="19"/>
      <c r="U76" s="19"/>
    </row>
    <row r="77" spans="1:21" s="33" customFormat="1" ht="113.65" customHeight="1" x14ac:dyDescent="0.45">
      <c r="A77" s="45" t="str">
        <f>Arbejdsark!$A$239</f>
        <v>Udearealer</v>
      </c>
      <c r="B77" s="43" t="str">
        <f>Arbejdsark!$B$239</f>
        <v>4.1</v>
      </c>
      <c r="C77" s="45" t="str">
        <f>IF('Sortering af spørgsmål'!$C$18=Projektforudsætninger!$C$23,Arbejdsark!C239,"")</f>
        <v/>
      </c>
      <c r="D77" s="46">
        <f>Arbejdsark!D77</f>
        <v>0</v>
      </c>
      <c r="E77" s="45">
        <f>Arbejdsark!I77</f>
        <v>0</v>
      </c>
      <c r="F77" s="45">
        <f>Arbejdsark!J77</f>
        <v>0</v>
      </c>
      <c r="G77" s="45" t="e">
        <f>Arbejdsark!#REF!</f>
        <v>#REF!</v>
      </c>
      <c r="H77" s="45" t="e">
        <f>Arbejdsark!#REF!</f>
        <v>#REF!</v>
      </c>
      <c r="I77" s="45" t="str">
        <f>IF('Sortering af spørgsmål'!$C$18=Projektforudsætninger!$C$23,Arbejdsark!K239,"")</f>
        <v/>
      </c>
      <c r="J77" s="41" t="s">
        <v>9</v>
      </c>
      <c r="K77" s="41"/>
      <c r="L77" s="27">
        <f t="shared" ref="L77:U77" si="1">L4</f>
        <v>0</v>
      </c>
      <c r="M77" s="27">
        <f t="shared" si="1"/>
        <v>0</v>
      </c>
      <c r="N77" s="27">
        <f t="shared" si="1"/>
        <v>0</v>
      </c>
      <c r="O77" s="27">
        <f t="shared" si="1"/>
        <v>0</v>
      </c>
      <c r="P77" s="27">
        <f t="shared" si="1"/>
        <v>0</v>
      </c>
      <c r="Q77" s="27">
        <f t="shared" si="1"/>
        <v>0</v>
      </c>
      <c r="R77" s="27">
        <f t="shared" si="1"/>
        <v>0</v>
      </c>
      <c r="S77" s="27">
        <f t="shared" si="1"/>
        <v>0</v>
      </c>
      <c r="T77" s="27">
        <f t="shared" si="1"/>
        <v>0</v>
      </c>
      <c r="U77" s="27">
        <f t="shared" si="1"/>
        <v>0</v>
      </c>
    </row>
    <row r="78" spans="1:21" ht="170.25" customHeight="1" x14ac:dyDescent="0.45">
      <c r="A78" s="45" t="str">
        <f>Arbejdsark!$A$239</f>
        <v>Udearealer</v>
      </c>
      <c r="B78" s="43" t="str">
        <f>Arbejdsark!$B$244</f>
        <v>4.2</v>
      </c>
      <c r="C78" s="45" t="str">
        <f>IF('Sortering af spørgsmål'!$C$18=Projektforudsætninger!$C$23,Arbejdsark!C244,"")</f>
        <v/>
      </c>
      <c r="D78" s="46" t="str">
        <f>Arbejdsark!D78</f>
        <v>ENV2.3
Vægtning: ENV2.3 pkt. 2.1 + 2.2+3</v>
      </c>
      <c r="E78" s="45" t="str">
        <f>Arbejdsark!I78</f>
        <v>x</v>
      </c>
      <c r="F78" s="45">
        <f>Arbejdsark!J78</f>
        <v>0</v>
      </c>
      <c r="G78" s="45" t="e">
        <f>Arbejdsark!#REF!</f>
        <v>#REF!</v>
      </c>
      <c r="H78" s="45" t="e">
        <f>Arbejdsark!#REF!</f>
        <v>#REF!</v>
      </c>
      <c r="I78" s="45" t="str">
        <f>IF('Sortering af spørgsmål'!$C$18=Projektforudsætninger!$C$23,Arbejdsark!K244,"")</f>
        <v/>
      </c>
      <c r="J78" s="41" t="s">
        <v>9</v>
      </c>
      <c r="K78" s="41"/>
      <c r="L78" s="19"/>
      <c r="M78" s="19"/>
      <c r="N78" s="19"/>
      <c r="O78" s="19"/>
      <c r="P78" s="19"/>
      <c r="Q78" s="19"/>
      <c r="R78" s="19"/>
      <c r="S78" s="19"/>
      <c r="T78" s="19"/>
      <c r="U78" s="19"/>
    </row>
    <row r="79" spans="1:21" x14ac:dyDescent="0.45">
      <c r="A79" s="45"/>
      <c r="B79" s="45"/>
      <c r="C79" s="45"/>
      <c r="D79" s="46"/>
      <c r="E79" s="45"/>
      <c r="F79" s="45"/>
      <c r="G79" s="45"/>
      <c r="H79" s="45"/>
      <c r="I79" s="45"/>
      <c r="J79" s="47"/>
      <c r="K79" s="47"/>
      <c r="L79" s="19"/>
      <c r="M79" s="19"/>
      <c r="N79" s="19"/>
      <c r="O79" s="19"/>
      <c r="P79" s="19"/>
      <c r="Q79" s="19"/>
      <c r="R79" s="19"/>
      <c r="S79" s="19"/>
      <c r="T79" s="19"/>
      <c r="U79" s="19"/>
    </row>
    <row r="80" spans="1:21" ht="28.5" customHeight="1" x14ac:dyDescent="0.45">
      <c r="A80" s="56" t="str">
        <f>Arbejdsark!$A$250</f>
        <v>Cyklister</v>
      </c>
      <c r="B80" s="57">
        <v>5</v>
      </c>
      <c r="C80" s="56"/>
      <c r="D80" s="56"/>
      <c r="E80" s="56"/>
      <c r="F80" s="56"/>
      <c r="G80" s="56"/>
      <c r="H80" s="56"/>
      <c r="I80" s="57" t="str">
        <f>IF('Sortering af spørgsmål'!$C$19=Projektforudsætninger!$C$23,"Udfyld spørgsmål","Ingen spørgsmål")</f>
        <v>Ingen spørgsmål</v>
      </c>
      <c r="J80" s="54"/>
      <c r="K80" s="54"/>
      <c r="L80" s="19"/>
      <c r="M80" s="19"/>
      <c r="N80" s="19"/>
      <c r="O80" s="19"/>
      <c r="P80" s="19"/>
      <c r="Q80" s="19"/>
      <c r="R80" s="19"/>
      <c r="S80" s="19"/>
      <c r="T80" s="19"/>
      <c r="U80" s="19"/>
    </row>
    <row r="81" spans="1:21" ht="113.65" customHeight="1" x14ac:dyDescent="0.45">
      <c r="A81" s="45" t="str">
        <f>Arbejdsark!$A$250</f>
        <v>Cyklister</v>
      </c>
      <c r="B81" s="43" t="str">
        <f>Arbejdsark!$B$250</f>
        <v>5.1</v>
      </c>
      <c r="C81" s="45" t="str">
        <f>IF('Sortering af spørgsmål'!$C$19=Projektforudsætninger!$C$23,Arbejdsark!C250,"")</f>
        <v/>
      </c>
      <c r="D81" s="46">
        <f>Arbejdsark!D81</f>
        <v>0</v>
      </c>
      <c r="E81" s="45">
        <f>Arbejdsark!I81</f>
        <v>0</v>
      </c>
      <c r="F81" s="45">
        <f>Arbejdsark!J81</f>
        <v>0</v>
      </c>
      <c r="G81" s="45" t="e">
        <f>Arbejdsark!#REF!</f>
        <v>#REF!</v>
      </c>
      <c r="H81" s="45" t="e">
        <f>Arbejdsark!#REF!</f>
        <v>#REF!</v>
      </c>
      <c r="I81" s="45" t="str">
        <f>IF('Sortering af spørgsmål'!$C$19=Projektforudsætninger!$C$23,Arbejdsark!K250,"")</f>
        <v/>
      </c>
      <c r="J81" s="41" t="s">
        <v>9</v>
      </c>
      <c r="K81" s="41"/>
      <c r="L81" s="19"/>
      <c r="M81" s="19"/>
      <c r="N81" s="19"/>
      <c r="O81" s="19"/>
      <c r="P81" s="19"/>
      <c r="Q81" s="19"/>
      <c r="R81" s="19"/>
      <c r="S81" s="19"/>
      <c r="T81" s="19"/>
      <c r="U81" s="19"/>
    </row>
    <row r="82" spans="1:21" ht="141.75" customHeight="1" x14ac:dyDescent="0.45">
      <c r="A82" s="45" t="str">
        <f>Arbejdsark!$A$250</f>
        <v>Cyklister</v>
      </c>
      <c r="B82" s="43" t="str">
        <f>Arbejdsark!$B$255</f>
        <v>5.2</v>
      </c>
      <c r="C82" s="45" t="str">
        <f>IF('Sortering af spørgsmål'!$C$19=Projektforudsætninger!$C$23,Arbejdsark!C255,"")</f>
        <v/>
      </c>
      <c r="D82" s="46">
        <f>Arbejdsark!D82</f>
        <v>0</v>
      </c>
      <c r="E82" s="45">
        <f>Arbejdsark!I82</f>
        <v>0</v>
      </c>
      <c r="F82" s="45">
        <f>Arbejdsark!J82</f>
        <v>0</v>
      </c>
      <c r="G82" s="45" t="e">
        <f>Arbejdsark!#REF!</f>
        <v>#REF!</v>
      </c>
      <c r="H82" s="45" t="e">
        <f>Arbejdsark!#REF!</f>
        <v>#REF!</v>
      </c>
      <c r="I82" s="45" t="str">
        <f>IF('Sortering af spørgsmål'!$C$19=Projektforudsætninger!$C$23,Arbejdsark!K255,"")</f>
        <v/>
      </c>
      <c r="J82" s="41" t="s">
        <v>9</v>
      </c>
      <c r="K82" s="41"/>
      <c r="L82" s="19"/>
      <c r="M82" s="19"/>
      <c r="N82" s="19"/>
      <c r="O82" s="19"/>
      <c r="P82" s="19"/>
      <c r="Q82" s="19"/>
      <c r="R82" s="19"/>
      <c r="S82" s="19"/>
      <c r="T82" s="19"/>
      <c r="U82" s="19"/>
    </row>
    <row r="83" spans="1:21" ht="141.75" customHeight="1" x14ac:dyDescent="0.45">
      <c r="A83" s="45" t="str">
        <f>Arbejdsark!$A$250</f>
        <v>Cyklister</v>
      </c>
      <c r="B83" s="43" t="str">
        <f>Arbejdsark!$B$260</f>
        <v>5.3</v>
      </c>
      <c r="C83" s="45" t="str">
        <f>IF('Sortering af spørgsmål'!$C$19=Projektforudsætninger!$C$23,Arbejdsark!C260,"")</f>
        <v/>
      </c>
      <c r="D83" s="46" t="e">
        <f>Arbejdsark!#REF!</f>
        <v>#REF!</v>
      </c>
      <c r="E83" s="45" t="e">
        <f>Arbejdsark!#REF!</f>
        <v>#REF!</v>
      </c>
      <c r="F83" s="45" t="e">
        <f>Arbejdsark!#REF!</f>
        <v>#REF!</v>
      </c>
      <c r="G83" s="45" t="e">
        <f>Arbejdsark!#REF!</f>
        <v>#REF!</v>
      </c>
      <c r="H83" s="45" t="e">
        <f>Arbejdsark!#REF!</f>
        <v>#REF!</v>
      </c>
      <c r="I83" s="45" t="str">
        <f>IF('Sortering af spørgsmål'!$C$19=Projektforudsætninger!$C$23,Arbejdsark!K260,"")</f>
        <v/>
      </c>
      <c r="J83" s="41" t="s">
        <v>9</v>
      </c>
      <c r="K83" s="41"/>
      <c r="L83" s="19"/>
      <c r="M83" s="19"/>
      <c r="N83" s="19"/>
      <c r="O83" s="19"/>
      <c r="P83" s="19"/>
      <c r="Q83" s="19"/>
      <c r="R83" s="19"/>
      <c r="S83" s="19"/>
      <c r="T83" s="19"/>
      <c r="U83" s="19"/>
    </row>
    <row r="84" spans="1:21" x14ac:dyDescent="0.45">
      <c r="A84" s="45"/>
      <c r="B84" s="45"/>
      <c r="C84" s="45"/>
      <c r="D84" s="46"/>
      <c r="E84" s="45"/>
      <c r="F84" s="45"/>
      <c r="G84" s="45"/>
      <c r="H84" s="45"/>
      <c r="I84" s="45"/>
      <c r="J84" s="47"/>
      <c r="K84" s="47"/>
      <c r="L84" s="19"/>
      <c r="M84" s="19"/>
      <c r="N84" s="19"/>
      <c r="O84" s="19"/>
      <c r="P84" s="19"/>
      <c r="Q84" s="19"/>
      <c r="R84" s="19"/>
      <c r="S84" s="19"/>
      <c r="T84" s="19"/>
      <c r="U84" s="19"/>
    </row>
    <row r="85" spans="1:21" ht="28.5" customHeight="1" x14ac:dyDescent="0.45">
      <c r="A85" s="56" t="str">
        <f>Arbejdsark!$A$265</f>
        <v>Tryghed og sikkerhed</v>
      </c>
      <c r="B85" s="57">
        <v>6</v>
      </c>
      <c r="C85" s="56"/>
      <c r="D85" s="56"/>
      <c r="E85" s="56"/>
      <c r="F85" s="56"/>
      <c r="G85" s="56"/>
      <c r="H85" s="56"/>
      <c r="I85" s="57" t="str">
        <f>IF('Sortering af spørgsmål'!$C$20=Projektforudsætninger!$C$23,"Udfyld spørgsmål","Ingen spørgsmål")</f>
        <v>Ingen spørgsmål</v>
      </c>
      <c r="J85" s="54"/>
      <c r="K85" s="54"/>
      <c r="L85" s="19"/>
      <c r="M85" s="19"/>
      <c r="N85" s="19"/>
      <c r="O85" s="19"/>
      <c r="P85" s="19"/>
      <c r="Q85" s="19"/>
      <c r="R85" s="19"/>
      <c r="S85" s="19"/>
      <c r="T85" s="19"/>
      <c r="U85" s="19"/>
    </row>
    <row r="86" spans="1:21" ht="113.65" customHeight="1" x14ac:dyDescent="0.45">
      <c r="A86" s="45" t="str">
        <f>Arbejdsark!$A$265</f>
        <v>Tryghed og sikkerhed</v>
      </c>
      <c r="B86" s="43" t="str">
        <f>Arbejdsark!$B$265</f>
        <v>6.1</v>
      </c>
      <c r="C86" s="45" t="str">
        <f>IF('Sortering af spørgsmål'!$C$20=Projektforudsætninger!$C$23,Arbejdsark!C265,"")</f>
        <v/>
      </c>
      <c r="D86" s="46">
        <f>Arbejdsark!D83</f>
        <v>0</v>
      </c>
      <c r="E86" s="45">
        <f>Arbejdsark!I83</f>
        <v>0</v>
      </c>
      <c r="F86" s="45">
        <f>Arbejdsark!J83</f>
        <v>0</v>
      </c>
      <c r="G86" s="45" t="e">
        <f>Arbejdsark!#REF!</f>
        <v>#REF!</v>
      </c>
      <c r="H86" s="45" t="e">
        <f>Arbejdsark!#REF!</f>
        <v>#REF!</v>
      </c>
      <c r="I86" s="45" t="str">
        <f>IF('Sortering af spørgsmål'!$C$20=Projektforudsætninger!$C$23,Arbejdsark!K265,"")</f>
        <v/>
      </c>
      <c r="J86" s="41" t="s">
        <v>9</v>
      </c>
      <c r="K86" s="41"/>
      <c r="L86" s="19"/>
      <c r="M86" s="19"/>
      <c r="N86" s="19"/>
      <c r="O86" s="19"/>
      <c r="P86" s="19"/>
      <c r="Q86" s="19"/>
      <c r="R86" s="19"/>
      <c r="S86" s="19"/>
      <c r="T86" s="19"/>
      <c r="U86" s="19"/>
    </row>
    <row r="87" spans="1:21" ht="113.65" customHeight="1" x14ac:dyDescent="0.45">
      <c r="A87" s="45" t="str">
        <f>Arbejdsark!$A$265</f>
        <v>Tryghed og sikkerhed</v>
      </c>
      <c r="B87" s="43" t="str">
        <f>Arbejdsark!$B$270</f>
        <v>6.2</v>
      </c>
      <c r="C87" s="45" t="str">
        <f>IF('Sortering af spørgsmål'!$C$20=Projektforudsætninger!$C$23,Arbejdsark!C270,"")</f>
        <v/>
      </c>
      <c r="D87" s="46">
        <f>Arbejdsark!D85</f>
        <v>0</v>
      </c>
      <c r="E87" s="45">
        <f>Arbejdsark!I85</f>
        <v>0</v>
      </c>
      <c r="F87" s="45">
        <f>Arbejdsark!J85</f>
        <v>0</v>
      </c>
      <c r="G87" s="45" t="e">
        <f>Arbejdsark!#REF!</f>
        <v>#REF!</v>
      </c>
      <c r="H87" s="45" t="e">
        <f>Arbejdsark!#REF!</f>
        <v>#REF!</v>
      </c>
      <c r="I87" s="45" t="str">
        <f>IF('Sortering af spørgsmål'!$C$20=Projektforudsætninger!$C$23,Arbejdsark!K270,"")</f>
        <v/>
      </c>
      <c r="J87" s="41" t="s">
        <v>9</v>
      </c>
      <c r="K87" s="41"/>
      <c r="L87" s="19"/>
      <c r="M87" s="19"/>
      <c r="N87" s="19"/>
      <c r="O87" s="19"/>
      <c r="P87" s="19"/>
      <c r="Q87" s="19"/>
      <c r="R87" s="19"/>
      <c r="S87" s="19"/>
      <c r="T87" s="19"/>
      <c r="U87" s="19"/>
    </row>
    <row r="88" spans="1:21" x14ac:dyDescent="0.45">
      <c r="A88" s="45"/>
      <c r="B88" s="45"/>
      <c r="C88" s="45"/>
      <c r="D88" s="46"/>
      <c r="E88" s="45"/>
      <c r="F88" s="45"/>
      <c r="G88" s="45"/>
      <c r="H88" s="45"/>
      <c r="I88" s="45"/>
      <c r="J88" s="47"/>
      <c r="K88" s="47"/>
      <c r="L88" s="19"/>
      <c r="M88" s="19"/>
      <c r="N88" s="19"/>
      <c r="O88" s="19"/>
      <c r="P88" s="19"/>
      <c r="Q88" s="19"/>
      <c r="R88" s="19"/>
      <c r="S88" s="19"/>
      <c r="T88" s="19"/>
      <c r="U88" s="19"/>
    </row>
    <row r="89" spans="1:21" ht="28.5" customHeight="1" x14ac:dyDescent="0.45">
      <c r="A89" s="56" t="str">
        <f>Arbejdsark!$A$279</f>
        <v>Arkitektonisk kvalitet</v>
      </c>
      <c r="B89" s="57">
        <v>7</v>
      </c>
      <c r="C89" s="56"/>
      <c r="D89" s="56"/>
      <c r="E89" s="56"/>
      <c r="F89" s="56"/>
      <c r="G89" s="56"/>
      <c r="H89" s="56"/>
      <c r="I89" s="57" t="str">
        <f>IF('Sortering af spørgsmål'!$C$21=Projektforudsætninger!$C$23,"Udfyld spørgsmål","Ingen spørgsmål")</f>
        <v>Ingen spørgsmål</v>
      </c>
      <c r="J89" s="54"/>
      <c r="K89" s="54"/>
      <c r="L89" s="19"/>
      <c r="M89" s="19"/>
      <c r="N89" s="19"/>
      <c r="O89" s="19"/>
      <c r="P89" s="19"/>
      <c r="Q89" s="19"/>
      <c r="R89" s="19"/>
      <c r="S89" s="19"/>
      <c r="T89" s="19"/>
      <c r="U89" s="19"/>
    </row>
    <row r="90" spans="1:21" s="33" customFormat="1" ht="75.75" customHeight="1" x14ac:dyDescent="0.45">
      <c r="A90" s="45" t="str">
        <f>IF(Projektforudsætninger!C40="Totalentreprisekonkurrence eller OPP leverance",Arbejdsark!$A$279,"")</f>
        <v/>
      </c>
      <c r="B90" s="43" t="str">
        <f>Arbejdsark!$B$289</f>
        <v>7.1</v>
      </c>
      <c r="C90" s="45" t="str">
        <f>IF('Sortering af spørgsmål'!$C$21=Projektforudsætninger!$C$23,IF(Projektforudsætninger!C40="Totalentreprisekonkurrence eller OPP leverance",Arbejdsark!C289,""),"")</f>
        <v/>
      </c>
      <c r="D90" s="46"/>
      <c r="E90" s="45"/>
      <c r="F90" s="45"/>
      <c r="G90" s="45"/>
      <c r="H90" s="45"/>
      <c r="I90" s="45" t="str">
        <f>IF('Sortering af spørgsmål'!$C$21=Projektforudsætninger!$C$23,IF(Projektforudsætninger!C40="Totalentreprisekonkurrence eller OPP leverance",Arbejdsark!K289,""),"")</f>
        <v/>
      </c>
      <c r="J90" s="41" t="s">
        <v>9</v>
      </c>
      <c r="K90" s="41"/>
      <c r="L90" s="32"/>
      <c r="M90" s="32"/>
      <c r="N90" s="32"/>
      <c r="O90" s="32"/>
      <c r="P90" s="32"/>
      <c r="Q90" s="32"/>
      <c r="R90" s="32"/>
      <c r="S90" s="32"/>
      <c r="T90" s="32"/>
      <c r="U90" s="32"/>
    </row>
    <row r="91" spans="1:21" s="33" customFormat="1" ht="75.75" customHeight="1" x14ac:dyDescent="0.45">
      <c r="A91" s="45" t="str">
        <f>IF(Projektforudsætninger!C41="Totalentreprisekonkurrence eller OPP leverance",Arbejdsark!$A$279,"")</f>
        <v/>
      </c>
      <c r="B91" s="43" t="str">
        <f>Arbejdsark!$B$294</f>
        <v>7.2</v>
      </c>
      <c r="C91" s="45" t="str">
        <f>IF('Sortering af spørgsmål'!$C$21=Projektforudsætninger!$C$23,IF(Projektforudsætninger!C40="Totalentreprisekonkurrence eller OPP leverance",Arbejdsark!C294,""),"")</f>
        <v/>
      </c>
      <c r="D91" s="46"/>
      <c r="E91" s="45"/>
      <c r="F91" s="45"/>
      <c r="G91" s="45"/>
      <c r="H91" s="45"/>
      <c r="I91" s="45" t="str">
        <f>IF('Sortering af spørgsmål'!$C$21=Projektforudsætninger!$C$23,IF(Projektforudsætninger!C40="Totalentreprisekonkurrence eller OPP leverance",Arbejdsark!K294,""),"")</f>
        <v/>
      </c>
      <c r="J91" s="41" t="s">
        <v>9</v>
      </c>
      <c r="K91" s="41"/>
      <c r="L91" s="32"/>
      <c r="M91" s="32"/>
      <c r="N91" s="32"/>
      <c r="O91" s="32"/>
      <c r="P91" s="32"/>
      <c r="Q91" s="32"/>
      <c r="R91" s="32"/>
      <c r="S91" s="32"/>
      <c r="T91" s="32"/>
      <c r="U91" s="32"/>
    </row>
    <row r="92" spans="1:21" x14ac:dyDescent="0.45">
      <c r="A92" s="45"/>
      <c r="B92" s="45"/>
      <c r="C92" s="45"/>
      <c r="D92" s="46"/>
      <c r="E92" s="45"/>
      <c r="F92" s="45"/>
      <c r="G92" s="45"/>
      <c r="H92" s="45"/>
      <c r="I92" s="45"/>
      <c r="J92" s="47"/>
      <c r="K92" s="47"/>
      <c r="L92" s="19"/>
      <c r="M92" s="19"/>
      <c r="N92" s="19"/>
      <c r="O92" s="19"/>
      <c r="P92" s="19"/>
      <c r="Q92" s="19"/>
      <c r="R92" s="19"/>
      <c r="S92" s="19"/>
      <c r="T92" s="19"/>
      <c r="U92" s="19"/>
    </row>
    <row r="93" spans="1:21" ht="28.5" customHeight="1" x14ac:dyDescent="0.45">
      <c r="A93" s="56" t="str">
        <f>Arbejdsark!$A$300</f>
        <v>Plandisponering</v>
      </c>
      <c r="B93" s="57">
        <v>8</v>
      </c>
      <c r="C93" s="56"/>
      <c r="D93" s="56"/>
      <c r="E93" s="56"/>
      <c r="F93" s="56"/>
      <c r="G93" s="56"/>
      <c r="H93" s="56"/>
      <c r="I93" s="57" t="str">
        <f>IF('Sortering af spørgsmål'!$C$22=Projektforudsætninger!$C$23,"Udfyld spørgsmål","Ingen spørgsmål")</f>
        <v>Ingen spørgsmål</v>
      </c>
      <c r="J93" s="54"/>
      <c r="K93" s="54"/>
      <c r="L93" s="19"/>
      <c r="M93" s="19"/>
      <c r="N93" s="19"/>
      <c r="O93" s="19"/>
      <c r="P93" s="19"/>
      <c r="Q93" s="19"/>
      <c r="R93" s="19"/>
      <c r="S93" s="19"/>
      <c r="T93" s="19"/>
      <c r="U93" s="19"/>
    </row>
    <row r="94" spans="1:21" ht="97.5" customHeight="1" x14ac:dyDescent="0.45">
      <c r="A94" s="45" t="str">
        <f>Arbejdsark!$A$300</f>
        <v>Plandisponering</v>
      </c>
      <c r="B94" s="43" t="str">
        <f>Arbejdsark!$B$300</f>
        <v>8.1</v>
      </c>
      <c r="C94" s="45" t="str">
        <f>IF('Sortering af spørgsmål'!$C$22=Projektforudsætninger!$C$23,Arbejdsark!C300,"")</f>
        <v/>
      </c>
      <c r="D94" s="46" t="str">
        <f>Arbejdsark!D91</f>
        <v>ECO2.2
Vægtning: ECO2.2 pkt. 1.1 + 1.2 +1.3</v>
      </c>
      <c r="E94" s="45" t="str">
        <f>Arbejdsark!I91</f>
        <v>x</v>
      </c>
      <c r="F94" s="45">
        <f>Arbejdsark!J91</f>
        <v>0</v>
      </c>
      <c r="G94" s="45" t="e">
        <f>Arbejdsark!#REF!</f>
        <v>#REF!</v>
      </c>
      <c r="H94" s="45" t="e">
        <f>Arbejdsark!#REF!</f>
        <v>#REF!</v>
      </c>
      <c r="I94" s="45" t="str">
        <f>IF('Sortering af spørgsmål'!$C$22=Projektforudsætninger!$C$23,Arbejdsark!K300,"")</f>
        <v/>
      </c>
      <c r="J94" s="41" t="s">
        <v>9</v>
      </c>
      <c r="K94" s="41"/>
      <c r="L94" s="19"/>
      <c r="M94" s="19"/>
      <c r="N94" s="19"/>
      <c r="O94" s="19"/>
      <c r="P94" s="19"/>
      <c r="Q94" s="19"/>
      <c r="R94" s="19"/>
      <c r="S94" s="19"/>
      <c r="T94" s="19"/>
      <c r="U94" s="19"/>
    </row>
    <row r="95" spans="1:21" ht="113.65" customHeight="1" x14ac:dyDescent="0.45">
      <c r="A95" s="45" t="str">
        <f>Arbejdsark!$A$300</f>
        <v>Plandisponering</v>
      </c>
      <c r="B95" s="43" t="str">
        <f>Arbejdsark!$B$306</f>
        <v>8.2</v>
      </c>
      <c r="C95" s="45" t="str">
        <f>IF('Sortering af spørgsmål'!$C$22=Projektforudsætninger!$C$23,Arbejdsark!C306,"")</f>
        <v/>
      </c>
      <c r="D95" s="46">
        <f>Arbejdsark!D92</f>
        <v>0</v>
      </c>
      <c r="E95" s="45">
        <f>Arbejdsark!I92</f>
        <v>0</v>
      </c>
      <c r="F95" s="45">
        <f>Arbejdsark!J92</f>
        <v>0</v>
      </c>
      <c r="G95" s="45" t="e">
        <f>Arbejdsark!#REF!</f>
        <v>#REF!</v>
      </c>
      <c r="H95" s="45" t="e">
        <f>Arbejdsark!#REF!</f>
        <v>#REF!</v>
      </c>
      <c r="I95" s="45" t="str">
        <f>IF('Sortering af spørgsmål'!$C$22=Projektforudsætninger!$C$23,Arbejdsark!K306,"")</f>
        <v/>
      </c>
      <c r="J95" s="41" t="s">
        <v>9</v>
      </c>
      <c r="K95" s="41"/>
      <c r="L95" s="19"/>
      <c r="M95" s="19"/>
      <c r="N95" s="19"/>
      <c r="O95" s="19"/>
      <c r="P95" s="19"/>
      <c r="Q95" s="19"/>
      <c r="R95" s="19"/>
      <c r="S95" s="19"/>
      <c r="T95" s="19"/>
      <c r="U95" s="19"/>
    </row>
    <row r="96" spans="1:21" ht="141.75" customHeight="1" x14ac:dyDescent="0.45">
      <c r="A96" s="45" t="str">
        <f>Arbejdsark!$A$300</f>
        <v>Plandisponering</v>
      </c>
      <c r="B96" s="43" t="str">
        <f>Arbejdsark!$B$311</f>
        <v>8.3</v>
      </c>
      <c r="C96" s="45" t="str">
        <f>IF('Sortering af spørgsmål'!$C$22=Projektforudsætninger!$C$23,Arbejdsark!C311,"")</f>
        <v/>
      </c>
      <c r="D96" s="46">
        <f>Arbejdsark!D93</f>
        <v>0</v>
      </c>
      <c r="E96" s="45">
        <f>Arbejdsark!I93</f>
        <v>0</v>
      </c>
      <c r="F96" s="45">
        <f>Arbejdsark!J93</f>
        <v>0</v>
      </c>
      <c r="G96" s="45" t="e">
        <f>Arbejdsark!#REF!</f>
        <v>#REF!</v>
      </c>
      <c r="H96" s="45" t="e">
        <f>Arbejdsark!#REF!</f>
        <v>#REF!</v>
      </c>
      <c r="I96" s="45" t="str">
        <f>IF('Sortering af spørgsmål'!$C$22=Projektforudsætninger!$C$23,Arbejdsark!K311,"")</f>
        <v/>
      </c>
      <c r="J96" s="41" t="s">
        <v>9</v>
      </c>
      <c r="K96" s="41"/>
      <c r="L96" s="19"/>
      <c r="M96" s="19"/>
      <c r="N96" s="19"/>
      <c r="O96" s="19"/>
      <c r="P96" s="19"/>
      <c r="Q96" s="19"/>
      <c r="R96" s="19"/>
      <c r="S96" s="19"/>
      <c r="T96" s="19"/>
      <c r="U96" s="19"/>
    </row>
    <row r="97" spans="1:21" ht="113.65" customHeight="1" x14ac:dyDescent="0.45">
      <c r="A97" s="45" t="str">
        <f>Arbejdsark!$A$300</f>
        <v>Plandisponering</v>
      </c>
      <c r="B97" s="43" t="str">
        <f>Arbejdsark!$B$316</f>
        <v>8.4</v>
      </c>
      <c r="C97" s="45" t="str">
        <f>IF('Sortering af spørgsmål'!$C$22=Projektforudsætninger!$C$23,Arbejdsark!C316,"")</f>
        <v/>
      </c>
      <c r="D97" s="46">
        <f>Arbejdsark!D94</f>
        <v>0</v>
      </c>
      <c r="E97" s="45">
        <f>Arbejdsark!I94</f>
        <v>0</v>
      </c>
      <c r="F97" s="45">
        <f>Arbejdsark!J94</f>
        <v>0</v>
      </c>
      <c r="G97" s="45" t="e">
        <f>Arbejdsark!#REF!</f>
        <v>#REF!</v>
      </c>
      <c r="H97" s="45" t="e">
        <f>Arbejdsark!#REF!</f>
        <v>#REF!</v>
      </c>
      <c r="I97" s="45" t="str">
        <f>IF('Sortering af spørgsmål'!$C$22=Projektforudsætninger!$C$23,Arbejdsark!K316,"")</f>
        <v/>
      </c>
      <c r="J97" s="41" t="s">
        <v>9</v>
      </c>
      <c r="K97" s="41"/>
      <c r="L97" s="19"/>
      <c r="M97" s="19"/>
      <c r="N97" s="19"/>
      <c r="O97" s="19"/>
      <c r="P97" s="19"/>
      <c r="Q97" s="19"/>
      <c r="R97" s="19"/>
      <c r="S97" s="19"/>
      <c r="T97" s="19"/>
      <c r="U97" s="19"/>
    </row>
    <row r="98" spans="1:21" ht="127.5" customHeight="1" x14ac:dyDescent="0.45">
      <c r="A98" s="45" t="str">
        <f>Arbejdsark!$A$300</f>
        <v>Plandisponering</v>
      </c>
      <c r="B98" s="43" t="str">
        <f>Arbejdsark!$B$321</f>
        <v>8.5</v>
      </c>
      <c r="C98" s="45" t="str">
        <f>IF('Sortering af spørgsmål'!$C$22=Projektforudsætninger!$C$23,Arbejdsark!C321,"")</f>
        <v/>
      </c>
      <c r="D98" s="46">
        <f>Arbejdsark!D95</f>
        <v>0</v>
      </c>
      <c r="E98" s="45">
        <f>Arbejdsark!I95</f>
        <v>0</v>
      </c>
      <c r="F98" s="45">
        <f>Arbejdsark!J95</f>
        <v>0</v>
      </c>
      <c r="G98" s="45" t="e">
        <f>Arbejdsark!#REF!</f>
        <v>#REF!</v>
      </c>
      <c r="H98" s="45" t="e">
        <f>Arbejdsark!#REF!</f>
        <v>#REF!</v>
      </c>
      <c r="I98" s="45" t="str">
        <f>IF('Sortering af spørgsmål'!$C$22=Projektforudsætninger!$C$23,Arbejdsark!K321,"")</f>
        <v/>
      </c>
      <c r="J98" s="41" t="s">
        <v>9</v>
      </c>
      <c r="K98" s="41"/>
      <c r="L98" s="19"/>
      <c r="M98" s="19"/>
      <c r="N98" s="19"/>
      <c r="O98" s="19"/>
      <c r="P98" s="19"/>
      <c r="Q98" s="19"/>
      <c r="R98" s="19"/>
      <c r="S98" s="19"/>
      <c r="T98" s="19"/>
      <c r="U98" s="19"/>
    </row>
    <row r="99" spans="1:21" ht="141.75" customHeight="1" x14ac:dyDescent="0.45">
      <c r="A99" s="45" t="str">
        <f>Arbejdsark!$A$300</f>
        <v>Plandisponering</v>
      </c>
      <c r="B99" s="43" t="str">
        <f>Arbejdsark!$B$326</f>
        <v>8.6</v>
      </c>
      <c r="C99" s="45" t="str">
        <f>IF('Sortering af spørgsmål'!$C$22=Projektforudsætninger!$C$23,Arbejdsark!C326,"")</f>
        <v/>
      </c>
      <c r="D99" s="46" t="e">
        <f>Arbejdsark!#REF!</f>
        <v>#REF!</v>
      </c>
      <c r="E99" s="45" t="e">
        <f>Arbejdsark!#REF!</f>
        <v>#REF!</v>
      </c>
      <c r="F99" s="45" t="e">
        <f>Arbejdsark!#REF!</f>
        <v>#REF!</v>
      </c>
      <c r="G99" s="45" t="e">
        <f>Arbejdsark!#REF!</f>
        <v>#REF!</v>
      </c>
      <c r="H99" s="45" t="e">
        <f>Arbejdsark!#REF!</f>
        <v>#REF!</v>
      </c>
      <c r="I99" s="45" t="str">
        <f>IF('Sortering af spørgsmål'!$C$22=Projektforudsætninger!$C$23,Arbejdsark!K326,"")</f>
        <v/>
      </c>
      <c r="J99" s="41" t="s">
        <v>9</v>
      </c>
      <c r="K99" s="41"/>
      <c r="L99" s="19"/>
      <c r="M99" s="19"/>
      <c r="N99" s="19"/>
      <c r="O99" s="19"/>
      <c r="P99" s="19"/>
      <c r="Q99" s="19"/>
      <c r="R99" s="19"/>
      <c r="S99" s="19"/>
      <c r="T99" s="19"/>
      <c r="U99" s="19"/>
    </row>
    <row r="100" spans="1:21" ht="141.75" customHeight="1" x14ac:dyDescent="0.45">
      <c r="A100" s="45" t="str">
        <f>Arbejdsark!$A$300</f>
        <v>Plandisponering</v>
      </c>
      <c r="B100" s="43" t="str">
        <f>Arbejdsark!$B$331</f>
        <v>8.7</v>
      </c>
      <c r="C100" s="45" t="str">
        <f>IF('Sortering af spørgsmål'!$C$22=Projektforudsætninger!$C$23,Arbejdsark!C331,"")</f>
        <v/>
      </c>
      <c r="D100" s="46" t="str">
        <f>Arbejdsark!D109</f>
        <v>ECO1.1
Vægtning: 13% af ECO1.1</v>
      </c>
      <c r="E100" s="45" t="str">
        <f>Arbejdsark!I109</f>
        <v>x</v>
      </c>
      <c r="F100" s="45">
        <f>Arbejdsark!J109</f>
        <v>0</v>
      </c>
      <c r="G100" s="45" t="e">
        <f>Arbejdsark!#REF!</f>
        <v>#REF!</v>
      </c>
      <c r="H100" s="45" t="e">
        <f>Arbejdsark!#REF!</f>
        <v>#REF!</v>
      </c>
      <c r="I100" s="45" t="str">
        <f>IF('Sortering af spørgsmål'!$C$22=Projektforudsætninger!$C$23,Arbejdsark!K331,"")</f>
        <v/>
      </c>
      <c r="J100" s="41" t="s">
        <v>9</v>
      </c>
      <c r="K100" s="41"/>
      <c r="L100" s="19"/>
      <c r="M100" s="19"/>
      <c r="N100" s="19"/>
      <c r="O100" s="19"/>
      <c r="P100" s="19"/>
      <c r="Q100" s="19"/>
      <c r="R100" s="19"/>
      <c r="S100" s="19"/>
      <c r="T100" s="19"/>
      <c r="U100" s="19"/>
    </row>
    <row r="101" spans="1:21" ht="141.75" customHeight="1" x14ac:dyDescent="0.45">
      <c r="A101" s="45" t="str">
        <f>Arbejdsark!$A$300</f>
        <v>Plandisponering</v>
      </c>
      <c r="B101" s="43" t="str">
        <f>Arbejdsark!$B$336</f>
        <v>8.8</v>
      </c>
      <c r="C101" s="45" t="str">
        <f>IF('Sortering af spørgsmål'!$C$22=Projektforudsætninger!$C$23,Arbejdsark!C336,"")</f>
        <v/>
      </c>
      <c r="D101" s="46">
        <f>Arbejdsark!D110</f>
        <v>0</v>
      </c>
      <c r="E101" s="45">
        <f>Arbejdsark!I110</f>
        <v>0</v>
      </c>
      <c r="F101" s="45">
        <f>Arbejdsark!J110</f>
        <v>0</v>
      </c>
      <c r="G101" s="45" t="e">
        <f>Arbejdsark!#REF!</f>
        <v>#REF!</v>
      </c>
      <c r="H101" s="45" t="e">
        <f>Arbejdsark!#REF!</f>
        <v>#REF!</v>
      </c>
      <c r="I101" s="45" t="str">
        <f>IF('Sortering af spørgsmål'!$C$22=Projektforudsætninger!$C$23,Arbejdsark!K336,"")</f>
        <v/>
      </c>
      <c r="J101" s="41" t="s">
        <v>9</v>
      </c>
      <c r="K101" s="41"/>
      <c r="L101" s="19"/>
      <c r="M101" s="19"/>
      <c r="N101" s="19"/>
      <c r="O101" s="19"/>
      <c r="P101" s="19"/>
      <c r="Q101" s="19"/>
      <c r="R101" s="19"/>
      <c r="S101" s="19"/>
      <c r="T101" s="19"/>
      <c r="U101" s="19"/>
    </row>
    <row r="102" spans="1:21" ht="141.75" customHeight="1" x14ac:dyDescent="0.45">
      <c r="A102" s="45" t="str">
        <f>Arbejdsark!$A$300</f>
        <v>Plandisponering</v>
      </c>
      <c r="B102" s="43" t="str">
        <f>Arbejdsark!$B$341</f>
        <v>8.9</v>
      </c>
      <c r="C102" s="45" t="str">
        <f>IF('Sortering af spørgsmål'!$C$22=Projektforudsætninger!$C$23,Arbejdsark!C341,"")</f>
        <v/>
      </c>
      <c r="D102" s="46">
        <f>Arbejdsark!D111</f>
        <v>0</v>
      </c>
      <c r="E102" s="45">
        <f>Arbejdsark!I111</f>
        <v>0</v>
      </c>
      <c r="F102" s="45">
        <f>Arbejdsark!J111</f>
        <v>0</v>
      </c>
      <c r="G102" s="45" t="e">
        <f>Arbejdsark!#REF!</f>
        <v>#REF!</v>
      </c>
      <c r="H102" s="45" t="e">
        <f>Arbejdsark!#REF!</f>
        <v>#REF!</v>
      </c>
      <c r="I102" s="45" t="str">
        <f>IF('Sortering af spørgsmål'!$C$22=Projektforudsætninger!$C$23,Arbejdsark!K341,"")</f>
        <v/>
      </c>
      <c r="J102" s="41" t="s">
        <v>9</v>
      </c>
      <c r="K102" s="41"/>
      <c r="L102" s="19"/>
      <c r="M102" s="19"/>
      <c r="N102" s="19"/>
      <c r="O102" s="19"/>
      <c r="P102" s="19"/>
      <c r="Q102" s="19"/>
      <c r="R102" s="19"/>
      <c r="S102" s="19"/>
      <c r="T102" s="19"/>
      <c r="U102" s="19"/>
    </row>
    <row r="103" spans="1:21" ht="141.75" customHeight="1" x14ac:dyDescent="0.45">
      <c r="A103" s="45" t="str">
        <f>Arbejdsark!$A$300</f>
        <v>Plandisponering</v>
      </c>
      <c r="B103" s="43" t="str">
        <f>Arbejdsark!$B$346</f>
        <v>8.10</v>
      </c>
      <c r="C103" s="45" t="str">
        <f>IF('Sortering af spørgsmål'!$C$22=Projektforudsætninger!$C$23,Arbejdsark!C346,"")</f>
        <v/>
      </c>
      <c r="D103" s="46">
        <f>Arbejdsark!D112</f>
        <v>0</v>
      </c>
      <c r="E103" s="45">
        <f>Arbejdsark!I112</f>
        <v>0</v>
      </c>
      <c r="F103" s="45">
        <f>Arbejdsark!J112</f>
        <v>0</v>
      </c>
      <c r="G103" s="45" t="e">
        <f>Arbejdsark!#REF!</f>
        <v>#REF!</v>
      </c>
      <c r="H103" s="45" t="e">
        <f>Arbejdsark!#REF!</f>
        <v>#REF!</v>
      </c>
      <c r="I103" s="45" t="str">
        <f>IF('Sortering af spørgsmål'!$C$22=Projektforudsætninger!$C$23,Arbejdsark!K346,"")</f>
        <v/>
      </c>
      <c r="J103" s="41" t="s">
        <v>9</v>
      </c>
      <c r="K103" s="41"/>
      <c r="L103" s="19"/>
      <c r="M103" s="19"/>
      <c r="N103" s="19"/>
      <c r="O103" s="19"/>
      <c r="P103" s="19"/>
      <c r="Q103" s="19"/>
      <c r="R103" s="19"/>
      <c r="S103" s="19"/>
      <c r="T103" s="19"/>
      <c r="U103" s="19"/>
    </row>
    <row r="104" spans="1:21" ht="85.15" customHeight="1" x14ac:dyDescent="0.45">
      <c r="A104" s="45" t="str">
        <f>Arbejdsark!$A$300</f>
        <v>Plandisponering</v>
      </c>
      <c r="B104" s="43" t="str">
        <f>Arbejdsark!$B$351</f>
        <v>8.11</v>
      </c>
      <c r="C104" s="45" t="str">
        <f>IF('Sortering af spørgsmål'!$C$22=Projektforudsætninger!$C$23,Arbejdsark!C351,"")</f>
        <v/>
      </c>
      <c r="D104" s="46">
        <f>Arbejdsark!D113</f>
        <v>0</v>
      </c>
      <c r="E104" s="45">
        <f>Arbejdsark!I113</f>
        <v>0</v>
      </c>
      <c r="F104" s="45">
        <f>Arbejdsark!J113</f>
        <v>0</v>
      </c>
      <c r="G104" s="45" t="e">
        <f>Arbejdsark!#REF!</f>
        <v>#REF!</v>
      </c>
      <c r="H104" s="45" t="e">
        <f>Arbejdsark!#REF!</f>
        <v>#REF!</v>
      </c>
      <c r="I104" s="45" t="str">
        <f>IF('Sortering af spørgsmål'!$C$22=Projektforudsætninger!$C$23,Arbejdsark!K351,"")</f>
        <v/>
      </c>
      <c r="J104" s="41" t="s">
        <v>9</v>
      </c>
      <c r="K104" s="41"/>
    </row>
    <row r="105" spans="1:21" ht="113.65" customHeight="1" x14ac:dyDescent="0.45">
      <c r="A105" s="45" t="str">
        <f>Arbejdsark!$A$300</f>
        <v>Plandisponering</v>
      </c>
      <c r="B105" s="43" t="str">
        <f>Arbejdsark!$B$356</f>
        <v>8.12</v>
      </c>
      <c r="C105" s="45" t="str">
        <f>IF('Sortering af spørgsmål'!$C$22=Projektforudsætninger!$C$23,Arbejdsark!C356,"")</f>
        <v/>
      </c>
      <c r="D105" s="46">
        <f>Arbejdsark!D113</f>
        <v>0</v>
      </c>
      <c r="E105" s="45">
        <f>Arbejdsark!I113</f>
        <v>0</v>
      </c>
      <c r="F105" s="45">
        <f>Arbejdsark!J113</f>
        <v>0</v>
      </c>
      <c r="G105" s="45" t="e">
        <f>Arbejdsark!#REF!</f>
        <v>#REF!</v>
      </c>
      <c r="H105" s="45" t="e">
        <f>Arbejdsark!#REF!</f>
        <v>#REF!</v>
      </c>
      <c r="I105" s="45" t="str">
        <f>IF('Sortering af spørgsmål'!$C$22=Projektforudsætninger!$C$23,Arbejdsark!K356,"")</f>
        <v/>
      </c>
      <c r="J105" s="41" t="s">
        <v>9</v>
      </c>
      <c r="K105" s="41"/>
    </row>
    <row r="106" spans="1:21" ht="141.75" customHeight="1" x14ac:dyDescent="0.45">
      <c r="A106" s="45" t="str">
        <f>Arbejdsark!$A$300</f>
        <v>Plandisponering</v>
      </c>
      <c r="B106" s="43" t="str">
        <f>Arbejdsark!$B$361</f>
        <v>8.13</v>
      </c>
      <c r="C106" s="45" t="str">
        <f>IF('Sortering af spørgsmål'!$C$22=Projektforudsætninger!$C$23,Arbejdsark!C361,"")</f>
        <v/>
      </c>
      <c r="D106" s="46" t="str">
        <f>Arbejdsark!D114</f>
        <v>ECO2.1
Vægtning: ECO2.1 pkt 2</v>
      </c>
      <c r="E106" s="45" t="str">
        <f>Arbejdsark!I114</f>
        <v>x</v>
      </c>
      <c r="F106" s="45">
        <f>Arbejdsark!J114</f>
        <v>0</v>
      </c>
      <c r="G106" s="45" t="e">
        <f>Arbejdsark!#REF!</f>
        <v>#REF!</v>
      </c>
      <c r="H106" s="45" t="e">
        <f>Arbejdsark!#REF!</f>
        <v>#REF!</v>
      </c>
      <c r="I106" s="45" t="str">
        <f>IF('Sortering af spørgsmål'!$C$22=Projektforudsætninger!$C$23,Arbejdsark!K361,"")</f>
        <v/>
      </c>
      <c r="J106" s="41" t="s">
        <v>9</v>
      </c>
      <c r="K106" s="41"/>
    </row>
    <row r="107" spans="1:21" ht="99.4" customHeight="1" x14ac:dyDescent="0.45">
      <c r="A107" s="45" t="str">
        <f>Arbejdsark!$A$300</f>
        <v>Plandisponering</v>
      </c>
      <c r="B107" s="43" t="str">
        <f>Arbejdsark!$B$366</f>
        <v>8.14</v>
      </c>
      <c r="C107" s="45" t="str">
        <f>IF('Sortering af spørgsmål'!$C$22=Projektforudsætninger!$C$23,Arbejdsark!C366,"")</f>
        <v/>
      </c>
      <c r="D107" s="46"/>
      <c r="E107" s="45"/>
      <c r="F107" s="45"/>
      <c r="G107" s="45"/>
      <c r="H107" s="45"/>
      <c r="I107" s="45" t="str">
        <f>IF('Sortering af spørgsmål'!$C$22=Projektforudsætninger!$C$23,Arbejdsark!K366,"")</f>
        <v/>
      </c>
      <c r="J107" s="41" t="s">
        <v>9</v>
      </c>
      <c r="K107" s="41"/>
    </row>
    <row r="108" spans="1:21" ht="85.15" customHeight="1" x14ac:dyDescent="0.45">
      <c r="A108" s="45" t="str">
        <f>Arbejdsark!$A$300</f>
        <v>Plandisponering</v>
      </c>
      <c r="B108" s="43" t="str">
        <f>Arbejdsark!$B$371</f>
        <v>8.15</v>
      </c>
      <c r="C108" s="45" t="str">
        <f>IF('Sortering af spørgsmål'!$C$22=Projektforudsætninger!$C$23,Arbejdsark!C371,"")</f>
        <v/>
      </c>
      <c r="D108" s="46">
        <f>Arbejdsark!D115</f>
        <v>0</v>
      </c>
      <c r="E108" s="45">
        <f>Arbejdsark!I115</f>
        <v>0</v>
      </c>
      <c r="F108" s="45">
        <f>Arbejdsark!J115</f>
        <v>0</v>
      </c>
      <c r="G108" s="45" t="e">
        <f>Arbejdsark!#REF!</f>
        <v>#REF!</v>
      </c>
      <c r="H108" s="45" t="e">
        <f>Arbejdsark!#REF!</f>
        <v>#REF!</v>
      </c>
      <c r="I108" s="45" t="str">
        <f>IF('Sortering af spørgsmål'!$C$22=Projektforudsætninger!$C$23,Arbejdsark!K371,"")</f>
        <v/>
      </c>
      <c r="J108" s="41" t="s">
        <v>9</v>
      </c>
      <c r="K108" s="41"/>
    </row>
    <row r="109" spans="1:21" x14ac:dyDescent="0.45">
      <c r="A109" s="45"/>
      <c r="B109" s="45"/>
      <c r="C109" s="45"/>
      <c r="D109" s="46"/>
      <c r="E109" s="45"/>
      <c r="F109" s="45"/>
      <c r="G109" s="45"/>
      <c r="H109" s="45"/>
      <c r="I109" s="45"/>
      <c r="J109" s="47"/>
      <c r="K109" s="47"/>
    </row>
    <row r="110" spans="1:21" ht="28.5" customHeight="1" x14ac:dyDescent="0.45">
      <c r="A110" s="274" t="str">
        <f>Arbejdsark!$A$376</f>
        <v>TEKNISK KVALITET</v>
      </c>
      <c r="B110" s="274"/>
      <c r="C110" s="274"/>
      <c r="D110" s="274"/>
      <c r="E110" s="274"/>
      <c r="F110" s="274"/>
      <c r="G110" s="274"/>
      <c r="H110" s="274"/>
      <c r="I110" s="275"/>
      <c r="J110" s="276"/>
      <c r="K110" s="276"/>
    </row>
    <row r="111" spans="1:21" ht="28.5" customHeight="1" x14ac:dyDescent="0.45">
      <c r="A111" s="58" t="str">
        <f>$A$4</f>
        <v>Tema</v>
      </c>
      <c r="B111" s="58" t="str">
        <f t="shared" ref="B111" si="2">B4</f>
        <v>ID</v>
      </c>
      <c r="C111" s="58" t="str">
        <f>$C$4</f>
        <v>Emne</v>
      </c>
      <c r="D111" s="58" t="str">
        <f>D4</f>
        <v>DGNB kriterium</v>
      </c>
      <c r="E111" s="58" t="str">
        <f>E4</f>
        <v>Byggeudvalg eller Hovedbestyrelse</v>
      </c>
      <c r="F111" s="58" t="str">
        <f>F4</f>
        <v>Projektleder</v>
      </c>
      <c r="G111" s="58" t="str">
        <f>G4</f>
        <v>#REFERENCE!</v>
      </c>
      <c r="H111" s="58" t="str">
        <f>H4</f>
        <v>Ikon</v>
      </c>
      <c r="I111" s="58" t="str">
        <f>$I$4</f>
        <v>Spørgsmål</v>
      </c>
      <c r="J111" s="59" t="str">
        <f>$J$4</f>
        <v>Svar</v>
      </c>
      <c r="K111" s="59" t="str">
        <f>$K$4</f>
        <v>Uddybende kommentarer</v>
      </c>
    </row>
    <row r="112" spans="1:21" ht="28.5" customHeight="1" x14ac:dyDescent="0.45">
      <c r="A112" s="274" t="str">
        <f>Arbejdsark!$A$378</f>
        <v>Personsikkerhed</v>
      </c>
      <c r="B112" s="274">
        <v>1</v>
      </c>
      <c r="C112" s="274"/>
      <c r="D112" s="274"/>
      <c r="E112" s="274"/>
      <c r="F112" s="274"/>
      <c r="G112" s="274"/>
      <c r="H112" s="274"/>
      <c r="I112" s="275" t="str">
        <f>IF('Sortering af spørgsmål'!$C$23=Projektforudsætninger!$C$23,"Udfyld spørgsmål","Ingen spørgsmål")</f>
        <v>Ingen spørgsmål</v>
      </c>
      <c r="J112" s="276"/>
      <c r="K112" s="276"/>
    </row>
    <row r="113" spans="1:11" ht="99.4" customHeight="1" x14ac:dyDescent="0.45">
      <c r="A113" s="58" t="str">
        <f>Arbejdsark!$A$378</f>
        <v>Personsikkerhed</v>
      </c>
      <c r="B113" s="43" t="str">
        <f>Arbejdsark!$B$378</f>
        <v>1.1</v>
      </c>
      <c r="C113" s="45" t="str">
        <f>IF('Sortering af spørgsmål'!$C$23=Projektforudsætninger!$C$23,Arbejdsark!C378,"")</f>
        <v/>
      </c>
      <c r="D113" s="46">
        <f>Arbejdsark!D120</f>
        <v>0</v>
      </c>
      <c r="E113" s="45">
        <f>Arbejdsark!I120</f>
        <v>0</v>
      </c>
      <c r="F113" s="45">
        <f>Arbejdsark!J120</f>
        <v>0</v>
      </c>
      <c r="G113" s="45" t="e">
        <f>Arbejdsark!#REF!</f>
        <v>#REF!</v>
      </c>
      <c r="H113" s="45" t="e">
        <f>Arbejdsark!#REF!</f>
        <v>#REF!</v>
      </c>
      <c r="I113" s="45" t="str">
        <f>IF('Sortering af spørgsmål'!$C$23=Projektforudsætninger!$C$23,Arbejdsark!K378,"")</f>
        <v/>
      </c>
      <c r="J113" s="41" t="s">
        <v>9</v>
      </c>
      <c r="K113" s="41"/>
    </row>
    <row r="114" spans="1:11" ht="99.4" customHeight="1" x14ac:dyDescent="0.45">
      <c r="A114" s="58" t="str">
        <f>Arbejdsark!$A$378</f>
        <v>Personsikkerhed</v>
      </c>
      <c r="B114" s="43" t="str">
        <f>Arbejdsark!$B$383</f>
        <v>1.2</v>
      </c>
      <c r="C114" s="45" t="str">
        <f>IF('Sortering af spørgsmål'!$C$23=Projektforudsætninger!$C$23,Arbejdsark!C383,"")</f>
        <v/>
      </c>
      <c r="D114" s="46"/>
      <c r="E114" s="45"/>
      <c r="F114" s="45"/>
      <c r="G114" s="45"/>
      <c r="H114" s="45"/>
      <c r="I114" s="45" t="str">
        <f>IF('Sortering af spørgsmål'!$C$23=Projektforudsætninger!$C$23,Arbejdsark!K383,"")</f>
        <v/>
      </c>
      <c r="J114" s="41" t="s">
        <v>9</v>
      </c>
      <c r="K114" s="41"/>
    </row>
    <row r="115" spans="1:11" x14ac:dyDescent="0.45">
      <c r="A115" s="45"/>
      <c r="B115" s="45"/>
      <c r="C115" s="45"/>
      <c r="D115" s="46"/>
      <c r="E115" s="45"/>
      <c r="F115" s="45"/>
      <c r="G115" s="45"/>
      <c r="H115" s="45"/>
      <c r="I115" s="45"/>
      <c r="J115" s="47"/>
      <c r="K115" s="47"/>
    </row>
    <row r="116" spans="1:11" ht="28.5" customHeight="1" x14ac:dyDescent="0.45">
      <c r="A116" s="274" t="str">
        <f>Arbejdsark!$A$388</f>
        <v>Klimaskærmens kvalitet</v>
      </c>
      <c r="B116" s="274">
        <v>2</v>
      </c>
      <c r="C116" s="274"/>
      <c r="D116" s="274"/>
      <c r="E116" s="274"/>
      <c r="F116" s="274"/>
      <c r="G116" s="274"/>
      <c r="H116" s="274"/>
      <c r="I116" s="275" t="str">
        <f>IF('Sortering af spørgsmål'!$C$24=Projektforudsætninger!$C$23,"Udfyld spørgsmål","Ingen spørgsmål")</f>
        <v>Ingen spørgsmål</v>
      </c>
      <c r="J116" s="276"/>
      <c r="K116" s="276"/>
    </row>
    <row r="117" spans="1:11" ht="113.65" customHeight="1" x14ac:dyDescent="0.45">
      <c r="A117" s="45" t="str">
        <f>Arbejdsark!$A$388</f>
        <v>Klimaskærmens kvalitet</v>
      </c>
      <c r="B117" s="43" t="str">
        <f>Arbejdsark!$B$388</f>
        <v>2.1</v>
      </c>
      <c r="C117" s="45" t="str">
        <f>IF('Sortering af spørgsmål'!$C$24=Projektforudsætninger!$C$23,Arbejdsark!C388,"")</f>
        <v/>
      </c>
      <c r="D117" s="46">
        <f>Arbejdsark!D125</f>
        <v>0</v>
      </c>
      <c r="E117" s="45">
        <f>Arbejdsark!I125</f>
        <v>0</v>
      </c>
      <c r="F117" s="45">
        <f>Arbejdsark!J125</f>
        <v>0</v>
      </c>
      <c r="G117" s="45" t="e">
        <f>Arbejdsark!#REF!</f>
        <v>#REF!</v>
      </c>
      <c r="H117" s="45" t="e">
        <f>Arbejdsark!#REF!</f>
        <v>#REF!</v>
      </c>
      <c r="I117" s="45" t="str">
        <f>IF('Sortering af spørgsmål'!$C$24=Projektforudsætninger!$C$23,Arbejdsark!K388,"")</f>
        <v/>
      </c>
      <c r="J117" s="41" t="s">
        <v>9</v>
      </c>
      <c r="K117" s="41"/>
    </row>
    <row r="118" spans="1:11" ht="113.65" customHeight="1" x14ac:dyDescent="0.45">
      <c r="A118" s="45" t="str">
        <f>Arbejdsark!$A$388</f>
        <v>Klimaskærmens kvalitet</v>
      </c>
      <c r="B118" s="43" t="str">
        <f>Arbejdsark!$B$393</f>
        <v>2.2</v>
      </c>
      <c r="C118" s="45" t="str">
        <f>IF('Sortering af spørgsmål'!$C$24=Projektforudsætninger!$C$23,Arbejdsark!C393,"")</f>
        <v/>
      </c>
      <c r="D118" s="46">
        <f>Arbejdsark!D126</f>
        <v>0</v>
      </c>
      <c r="E118" s="45">
        <f>Arbejdsark!I126</f>
        <v>0</v>
      </c>
      <c r="F118" s="45">
        <f>Arbejdsark!J126</f>
        <v>0</v>
      </c>
      <c r="G118" s="45" t="e">
        <f>Arbejdsark!#REF!</f>
        <v>#REF!</v>
      </c>
      <c r="H118" s="45" t="e">
        <f>Arbejdsark!#REF!</f>
        <v>#REF!</v>
      </c>
      <c r="I118" s="45" t="str">
        <f>IF('Sortering af spørgsmål'!$C$24=Projektforudsætninger!$C$23,Arbejdsark!K393,"")</f>
        <v/>
      </c>
      <c r="J118" s="41" t="s">
        <v>9</v>
      </c>
      <c r="K118" s="41"/>
    </row>
    <row r="119" spans="1:11" ht="113.65" customHeight="1" x14ac:dyDescent="0.45">
      <c r="A119" s="45" t="str">
        <f>Arbejdsark!$A$388</f>
        <v>Klimaskærmens kvalitet</v>
      </c>
      <c r="B119" s="43" t="str">
        <f>Arbejdsark!$B$398</f>
        <v>2.3</v>
      </c>
      <c r="C119" s="45" t="str">
        <f>IF('Sortering af spørgsmål'!$C$24=Projektforudsætninger!$C$23,Arbejdsark!C398,"")</f>
        <v/>
      </c>
      <c r="D119" s="46">
        <f>Arbejdsark!D127</f>
        <v>0</v>
      </c>
      <c r="E119" s="45">
        <f>Arbejdsark!I127</f>
        <v>0</v>
      </c>
      <c r="F119" s="45">
        <f>Arbejdsark!J127</f>
        <v>0</v>
      </c>
      <c r="G119" s="45" t="e">
        <f>Arbejdsark!#REF!</f>
        <v>#REF!</v>
      </c>
      <c r="H119" s="45" t="e">
        <f>Arbejdsark!#REF!</f>
        <v>#REF!</v>
      </c>
      <c r="I119" s="45" t="str">
        <f>IF('Sortering af spørgsmål'!$C$24=Projektforudsætninger!$C$23,Arbejdsark!K398,"")</f>
        <v/>
      </c>
      <c r="J119" s="41" t="s">
        <v>9</v>
      </c>
      <c r="K119" s="41"/>
    </row>
    <row r="120" spans="1:11" ht="141.75" customHeight="1" x14ac:dyDescent="0.45">
      <c r="A120" s="45" t="str">
        <f>Arbejdsark!$A$388</f>
        <v>Klimaskærmens kvalitet</v>
      </c>
      <c r="B120" s="43" t="str">
        <f>Arbejdsark!$B$403</f>
        <v>2.4</v>
      </c>
      <c r="C120" s="45" t="str">
        <f>IF('Sortering af spørgsmål'!$C$24=Projektforudsætninger!$C$23,Arbejdsark!C403,"")</f>
        <v/>
      </c>
      <c r="D120" s="46">
        <f>Arbejdsark!D128</f>
        <v>0</v>
      </c>
      <c r="E120" s="45">
        <f>Arbejdsark!I128</f>
        <v>0</v>
      </c>
      <c r="F120" s="45">
        <f>Arbejdsark!J128</f>
        <v>0</v>
      </c>
      <c r="G120" s="45" t="e">
        <f>Arbejdsark!#REF!</f>
        <v>#REF!</v>
      </c>
      <c r="H120" s="45" t="e">
        <f>Arbejdsark!#REF!</f>
        <v>#REF!</v>
      </c>
      <c r="I120" s="45" t="str">
        <f>IF('Sortering af spørgsmål'!$C$24=Projektforudsætninger!$C$23,Arbejdsark!K403,"")</f>
        <v/>
      </c>
      <c r="J120" s="41" t="s">
        <v>9</v>
      </c>
      <c r="K120" s="41"/>
    </row>
    <row r="121" spans="1:11" ht="56.85" customHeight="1" x14ac:dyDescent="0.45">
      <c r="A121" s="45" t="str">
        <f>Arbejdsark!$A$388</f>
        <v>Klimaskærmens kvalitet</v>
      </c>
      <c r="B121" s="43" t="str">
        <f>Arbejdsark!$B$408</f>
        <v>2.5</v>
      </c>
      <c r="C121" s="45" t="str">
        <f>IF('Sortering af spørgsmål'!$C$24=Projektforudsætninger!$C$23,Arbejdsark!C408,"")</f>
        <v/>
      </c>
      <c r="D121" s="46"/>
      <c r="E121" s="45"/>
      <c r="F121" s="45"/>
      <c r="G121" s="45"/>
      <c r="H121" s="45"/>
      <c r="I121" s="45" t="str">
        <f>IF('Sortering af spørgsmål'!$C$24=Projektforudsætninger!$C$23,Arbejdsark!K408,"")</f>
        <v/>
      </c>
      <c r="J121" s="41" t="s">
        <v>9</v>
      </c>
      <c r="K121" s="41"/>
    </row>
    <row r="122" spans="1:11" ht="85.15" customHeight="1" x14ac:dyDescent="0.45">
      <c r="A122" s="45" t="str">
        <f>Arbejdsark!$A$388</f>
        <v>Klimaskærmens kvalitet</v>
      </c>
      <c r="B122" s="43" t="str">
        <f>Arbejdsark!$B$413</f>
        <v>2.6</v>
      </c>
      <c r="C122" s="45" t="str">
        <f>IF('Sortering af spørgsmål'!$C$24=Projektforudsætninger!$C$23,Arbejdsark!C413,"")</f>
        <v/>
      </c>
      <c r="D122" s="46" t="str">
        <f>Arbejdsark!D129</f>
        <v>ECO2.1
Vægtning: ECO2.1 pkt 5</v>
      </c>
      <c r="E122" s="45" t="str">
        <f>Arbejdsark!I129</f>
        <v>x</v>
      </c>
      <c r="F122" s="45">
        <f>Arbejdsark!J129</f>
        <v>0</v>
      </c>
      <c r="G122" s="45" t="e">
        <f>Arbejdsark!#REF!</f>
        <v>#REF!</v>
      </c>
      <c r="H122" s="45" t="e">
        <f>Arbejdsark!#REF!</f>
        <v>#REF!</v>
      </c>
      <c r="I122" s="45" t="str">
        <f>IF('Sortering af spørgsmål'!$C$24=Projektforudsætninger!$C$23,Arbejdsark!K413,"")</f>
        <v/>
      </c>
      <c r="J122" s="41" t="s">
        <v>9</v>
      </c>
      <c r="K122" s="41"/>
    </row>
    <row r="123" spans="1:11" ht="85.15" customHeight="1" x14ac:dyDescent="0.45">
      <c r="A123" s="45" t="str">
        <f>Arbejdsark!$A$388</f>
        <v>Klimaskærmens kvalitet</v>
      </c>
      <c r="B123" s="43" t="str">
        <f>Arbejdsark!$B$418</f>
        <v>2.7</v>
      </c>
      <c r="C123" s="45" t="str">
        <f>IF('Sortering af spørgsmål'!$C$24=Projektforudsætninger!$C$23,Arbejdsark!C418,"")</f>
        <v/>
      </c>
      <c r="D123" s="46">
        <f>Arbejdsark!D130</f>
        <v>0</v>
      </c>
      <c r="E123" s="45">
        <f>Arbejdsark!I130</f>
        <v>0</v>
      </c>
      <c r="F123" s="45">
        <f>Arbejdsark!J130</f>
        <v>0</v>
      </c>
      <c r="G123" s="45" t="e">
        <f>Arbejdsark!#REF!</f>
        <v>#REF!</v>
      </c>
      <c r="H123" s="45" t="e">
        <f>Arbejdsark!#REF!</f>
        <v>#REF!</v>
      </c>
      <c r="I123" s="45" t="str">
        <f>IF('Sortering af spørgsmål'!$C$24=Projektforudsætninger!$C$23,Arbejdsark!K418,"")</f>
        <v/>
      </c>
      <c r="J123" s="41" t="s">
        <v>9</v>
      </c>
      <c r="K123" s="41"/>
    </row>
    <row r="124" spans="1:11" x14ac:dyDescent="0.45">
      <c r="A124" s="45"/>
      <c r="B124" s="45"/>
      <c r="C124" s="45"/>
      <c r="D124" s="46"/>
      <c r="E124" s="45"/>
      <c r="F124" s="45"/>
      <c r="G124" s="45"/>
      <c r="H124" s="45"/>
      <c r="I124" s="45"/>
      <c r="J124" s="47"/>
      <c r="K124" s="47"/>
    </row>
    <row r="125" spans="1:11" ht="28.5" customHeight="1" x14ac:dyDescent="0.45">
      <c r="A125" s="274" t="str">
        <f>Arbejdsark!$A$424</f>
        <v>Renhold og vedligehold</v>
      </c>
      <c r="B125" s="274">
        <v>3</v>
      </c>
      <c r="C125" s="274"/>
      <c r="D125" s="274"/>
      <c r="E125" s="274"/>
      <c r="F125" s="274"/>
      <c r="G125" s="274"/>
      <c r="H125" s="274"/>
      <c r="I125" s="275" t="str">
        <f>IF('Sortering af spørgsmål'!$C$25=Projektforudsætninger!$C$23,"Udfyld spørgsmål","Ingen spørgsmål")</f>
        <v>Ingen spørgsmål</v>
      </c>
      <c r="J125" s="276"/>
      <c r="K125" s="276"/>
    </row>
    <row r="126" spans="1:11" ht="113.65" customHeight="1" x14ac:dyDescent="0.45">
      <c r="A126" s="45" t="str">
        <f>Arbejdsark!$A$424</f>
        <v>Renhold og vedligehold</v>
      </c>
      <c r="B126" s="43" t="str">
        <f>Arbejdsark!$B$424</f>
        <v>3.1</v>
      </c>
      <c r="C126" s="45" t="str">
        <f>IF('Sortering af spørgsmål'!$C$25=Projektforudsætninger!$C$23,Arbejdsark!C424,"")</f>
        <v/>
      </c>
      <c r="D126" s="46" t="str">
        <f>Arbejdsark!D134</f>
        <v>ECO2.1
Vægtning: 75% af ECO2.1 pkt 6</v>
      </c>
      <c r="E126" s="45" t="str">
        <f>Arbejdsark!I134</f>
        <v>x</v>
      </c>
      <c r="F126" s="45">
        <f>Arbejdsark!J134</f>
        <v>0</v>
      </c>
      <c r="G126" s="45" t="e">
        <f>Arbejdsark!#REF!</f>
        <v>#REF!</v>
      </c>
      <c r="H126" s="45" t="e">
        <f>Arbejdsark!#REF!</f>
        <v>#REF!</v>
      </c>
      <c r="I126" s="45" t="str">
        <f>IF('Sortering af spørgsmål'!$C$25=Projektforudsætninger!$C$23,Arbejdsark!K424,"")</f>
        <v/>
      </c>
      <c r="J126" s="41" t="s">
        <v>9</v>
      </c>
      <c r="K126" s="41"/>
    </row>
    <row r="127" spans="1:11" ht="113.65" customHeight="1" x14ac:dyDescent="0.45">
      <c r="A127" s="45" t="str">
        <f>Arbejdsark!$A$424</f>
        <v>Renhold og vedligehold</v>
      </c>
      <c r="B127" s="43" t="str">
        <f>Arbejdsark!$B$429</f>
        <v>3.2</v>
      </c>
      <c r="C127" s="45" t="str">
        <f>IF('Sortering af spørgsmål'!$C$25=Projektforudsætninger!$C$23,Arbejdsark!C429,"")</f>
        <v/>
      </c>
      <c r="D127" s="46">
        <f>Arbejdsark!D135</f>
        <v>0</v>
      </c>
      <c r="E127" s="45">
        <f>Arbejdsark!I135</f>
        <v>0</v>
      </c>
      <c r="F127" s="45">
        <f>Arbejdsark!J135</f>
        <v>0</v>
      </c>
      <c r="G127" s="45" t="e">
        <f>Arbejdsark!#REF!</f>
        <v>#REF!</v>
      </c>
      <c r="H127" s="45" t="e">
        <f>Arbejdsark!#REF!</f>
        <v>#REF!</v>
      </c>
      <c r="I127" s="45" t="str">
        <f>IF('Sortering af spørgsmål'!$C$25=Projektforudsætninger!$C$23,Arbejdsark!K429,"")</f>
        <v/>
      </c>
      <c r="J127" s="41" t="s">
        <v>9</v>
      </c>
      <c r="K127" s="41"/>
    </row>
    <row r="128" spans="1:11" ht="156" customHeight="1" x14ac:dyDescent="0.45">
      <c r="A128" s="45" t="str">
        <f>Arbejdsark!$A$424</f>
        <v>Renhold og vedligehold</v>
      </c>
      <c r="B128" s="43" t="str">
        <f>Arbejdsark!$B$434</f>
        <v>3.3</v>
      </c>
      <c r="C128" s="45" t="str">
        <f>IF('Sortering af spørgsmål'!$C$25=Projektforudsætninger!$C$23,Arbejdsark!C434,"")</f>
        <v/>
      </c>
      <c r="D128" s="46">
        <f>Arbejdsark!D136</f>
        <v>0</v>
      </c>
      <c r="E128" s="45">
        <f>Arbejdsark!I136</f>
        <v>0</v>
      </c>
      <c r="F128" s="45">
        <f>Arbejdsark!J136</f>
        <v>0</v>
      </c>
      <c r="G128" s="45" t="e">
        <f>Arbejdsark!#REF!</f>
        <v>#REF!</v>
      </c>
      <c r="H128" s="45" t="e">
        <f>Arbejdsark!#REF!</f>
        <v>#REF!</v>
      </c>
      <c r="I128" s="45" t="str">
        <f>IF('Sortering af spørgsmål'!$C$25=Projektforudsætninger!$C$23,Arbejdsark!K434,"")</f>
        <v/>
      </c>
      <c r="J128" s="41" t="s">
        <v>9</v>
      </c>
      <c r="K128" s="41"/>
    </row>
    <row r="129" spans="1:11" ht="99.4" customHeight="1" x14ac:dyDescent="0.45">
      <c r="A129" s="45" t="str">
        <f>Arbejdsark!$A$424</f>
        <v>Renhold og vedligehold</v>
      </c>
      <c r="B129" s="43" t="str">
        <f>Arbejdsark!$B$439</f>
        <v>3.4</v>
      </c>
      <c r="C129" s="45" t="str">
        <f>IF('Sortering af spørgsmål'!$C$25=Projektforudsætninger!$C$23,Arbejdsark!C439,"")</f>
        <v/>
      </c>
      <c r="D129" s="46">
        <f>Arbejdsark!D137</f>
        <v>0</v>
      </c>
      <c r="E129" s="45">
        <f>Arbejdsark!I137</f>
        <v>0</v>
      </c>
      <c r="F129" s="45">
        <f>Arbejdsark!J137</f>
        <v>0</v>
      </c>
      <c r="G129" s="45" t="e">
        <f>Arbejdsark!#REF!</f>
        <v>#REF!</v>
      </c>
      <c r="H129" s="45" t="e">
        <f>Arbejdsark!#REF!</f>
        <v>#REF!</v>
      </c>
      <c r="I129" s="45" t="str">
        <f>IF('Sortering af spørgsmål'!$C$25=Projektforudsætninger!$C$23,Arbejdsark!K439,"")</f>
        <v/>
      </c>
      <c r="J129" s="41" t="s">
        <v>9</v>
      </c>
      <c r="K129" s="41"/>
    </row>
    <row r="130" spans="1:11" ht="141.75" customHeight="1" x14ac:dyDescent="0.45">
      <c r="A130" s="45" t="str">
        <f>Arbejdsark!$A$424</f>
        <v>Renhold og vedligehold</v>
      </c>
      <c r="B130" s="43" t="str">
        <f>Arbejdsark!$B$444</f>
        <v>3.5</v>
      </c>
      <c r="C130" s="45" t="str">
        <f>IF('Sortering af spørgsmål'!$C$25=Projektforudsætninger!$C$23,Arbejdsark!C444,"")</f>
        <v/>
      </c>
      <c r="D130" s="46">
        <f>Arbejdsark!D138</f>
        <v>0</v>
      </c>
      <c r="E130" s="45">
        <f>Arbejdsark!I138</f>
        <v>0</v>
      </c>
      <c r="F130" s="45">
        <f>Arbejdsark!J138</f>
        <v>0</v>
      </c>
      <c r="G130" s="45" t="e">
        <f>Arbejdsark!#REF!</f>
        <v>#REF!</v>
      </c>
      <c r="H130" s="45" t="e">
        <f>Arbejdsark!#REF!</f>
        <v>#REF!</v>
      </c>
      <c r="I130" s="45" t="str">
        <f>IF('Sortering af spørgsmål'!$C$25=Projektforudsætninger!$C$23,Arbejdsark!K444,"")</f>
        <v/>
      </c>
      <c r="J130" s="41" t="s">
        <v>9</v>
      </c>
      <c r="K130" s="41"/>
    </row>
    <row r="131" spans="1:11" ht="98.25" customHeight="1" x14ac:dyDescent="0.45">
      <c r="A131" s="45" t="str">
        <f>Arbejdsark!$A$424</f>
        <v>Renhold og vedligehold</v>
      </c>
      <c r="B131" s="43" t="str">
        <f>Arbejdsark!$B$449</f>
        <v>3.6</v>
      </c>
      <c r="C131" s="45" t="str">
        <f>IF('Sortering af spørgsmål'!$C$25=Projektforudsætninger!$C$23,Arbejdsark!C449,"")</f>
        <v/>
      </c>
      <c r="D131" s="46" t="str">
        <f>Arbejdsark!D139</f>
        <v>ECO2.1 + TEC1.4
Vægtning: ECO2.1 pkt. 7.1, 7.2 og 7.3 + TEC1.4 pkt. 1.1, 1.2 og 1.3</v>
      </c>
      <c r="E131" s="45" t="str">
        <f>Arbejdsark!I139</f>
        <v>x</v>
      </c>
      <c r="F131" s="45">
        <f>Arbejdsark!J139</f>
        <v>0</v>
      </c>
      <c r="G131" s="45" t="e">
        <f>Arbejdsark!#REF!</f>
        <v>#REF!</v>
      </c>
      <c r="H131" s="45" t="e">
        <f>Arbejdsark!#REF!</f>
        <v>#REF!</v>
      </c>
      <c r="I131" s="45" t="str">
        <f>IF('Sortering af spørgsmål'!$C$25=Projektforudsætninger!$C$23,Arbejdsark!K449,"")</f>
        <v/>
      </c>
      <c r="J131" s="41" t="s">
        <v>9</v>
      </c>
      <c r="K131" s="41"/>
    </row>
    <row r="132" spans="1:11" x14ac:dyDescent="0.45">
      <c r="A132" s="323" t="str">
        <f>Arbejdsark!$A$455</f>
        <v>Idriftsættelse</v>
      </c>
      <c r="B132" s="313">
        <v>4</v>
      </c>
      <c r="C132" s="323"/>
      <c r="D132" s="323"/>
      <c r="E132" s="323"/>
      <c r="F132" s="323"/>
      <c r="G132" s="323"/>
      <c r="H132" s="323"/>
      <c r="I132" s="313" t="str">
        <f>IF('Sortering af spørgsmål'!$C$33=Projektforudsætninger!$C$23,"Udfyld spørgsmål","Ingen spørgsmål")</f>
        <v>Ingen spørgsmål</v>
      </c>
      <c r="J132" s="314"/>
      <c r="K132" s="314"/>
    </row>
    <row r="133" spans="1:11" ht="98.25" customHeight="1" x14ac:dyDescent="0.45">
      <c r="A133" s="45" t="str">
        <f>Arbejdsark!$A$455</f>
        <v>Idriftsættelse</v>
      </c>
      <c r="B133" s="327" t="str">
        <f>Arbejdsark!$B$455</f>
        <v>4.1</v>
      </c>
      <c r="C133" s="45" t="str">
        <f>IF('Sortering af spørgsmål'!$C$33=Projektforudsætninger!$C$23,Arbejdsark!C455,"")</f>
        <v/>
      </c>
      <c r="D133" s="46" t="str">
        <f>Arbejdsark!D167</f>
        <v>SOC1.1
Vægtning: SOC1.1 pkt. 1 + 4</v>
      </c>
      <c r="E133" s="45" t="str">
        <f>Arbejdsark!I167</f>
        <v>x</v>
      </c>
      <c r="F133" s="45">
        <f>Arbejdsark!J167</f>
        <v>0</v>
      </c>
      <c r="G133" s="45" t="e">
        <f>Arbejdsark!#REF!</f>
        <v>#REF!</v>
      </c>
      <c r="H133" s="45" t="e">
        <f>Arbejdsark!#REF!</f>
        <v>#REF!</v>
      </c>
      <c r="I133" s="45" t="str">
        <f>IF('Sortering af spørgsmål'!$C$33=Projektforudsætninger!$C$23,Arbejdsark!K455,"")</f>
        <v/>
      </c>
      <c r="J133" s="41" t="s">
        <v>9</v>
      </c>
      <c r="K133" s="41"/>
    </row>
    <row r="134" spans="1:11" x14ac:dyDescent="0.45">
      <c r="A134" s="45"/>
      <c r="B134" s="319"/>
      <c r="C134" s="45"/>
      <c r="D134" s="46"/>
      <c r="E134" s="45"/>
      <c r="F134" s="45"/>
      <c r="G134" s="45"/>
      <c r="H134" s="45"/>
      <c r="I134" s="45"/>
      <c r="J134" s="47"/>
      <c r="K134" s="47"/>
    </row>
    <row r="135" spans="1:11" ht="28.5" customHeight="1" x14ac:dyDescent="0.45">
      <c r="A135" s="62" t="str">
        <f>Arbejdsark!$A$460</f>
        <v>PROCES KVALITET</v>
      </c>
      <c r="B135" s="328"/>
      <c r="C135" s="62"/>
      <c r="D135" s="62"/>
      <c r="E135" s="62"/>
      <c r="F135" s="62"/>
      <c r="G135" s="62"/>
      <c r="H135" s="62"/>
      <c r="I135" s="63"/>
      <c r="J135" s="64"/>
      <c r="K135" s="64"/>
    </row>
    <row r="136" spans="1:11" ht="28.5" customHeight="1" x14ac:dyDescent="0.45">
      <c r="A136" s="58" t="str">
        <f>$A$4</f>
        <v>Tema</v>
      </c>
      <c r="B136" s="319" t="str">
        <f>B4</f>
        <v>ID</v>
      </c>
      <c r="C136" s="58" t="str">
        <f>$C$4</f>
        <v>Emne</v>
      </c>
      <c r="D136" s="58" t="str">
        <f>D4</f>
        <v>DGNB kriterium</v>
      </c>
      <c r="E136" s="58" t="str">
        <f>E4</f>
        <v>Byggeudvalg eller Hovedbestyrelse</v>
      </c>
      <c r="F136" s="58" t="str">
        <f>F4</f>
        <v>Projektleder</v>
      </c>
      <c r="G136" s="58" t="str">
        <f>G4</f>
        <v>#REFERENCE!</v>
      </c>
      <c r="H136" s="58" t="str">
        <f>H4</f>
        <v>Ikon</v>
      </c>
      <c r="I136" s="58" t="str">
        <f>$I$4</f>
        <v>Spørgsmål</v>
      </c>
      <c r="J136" s="59" t="str">
        <f>$J$4</f>
        <v>Svar</v>
      </c>
      <c r="K136" s="59" t="str">
        <f>$K$4</f>
        <v>Uddybende kommentarer</v>
      </c>
    </row>
    <row r="137" spans="1:11" ht="28.5" customHeight="1" x14ac:dyDescent="0.45">
      <c r="A137" s="62" t="str">
        <f>Arbejdsark!$A$462</f>
        <v>Byggeprogram</v>
      </c>
      <c r="B137" s="328">
        <v>1</v>
      </c>
      <c r="C137" s="62"/>
      <c r="D137" s="62"/>
      <c r="E137" s="62"/>
      <c r="F137" s="62"/>
      <c r="G137" s="62"/>
      <c r="H137" s="62"/>
      <c r="I137" s="63" t="str">
        <f>IF('Sortering af spørgsmål'!$C$26=Projektforudsætninger!$C$23,"Udfyld spørgsmål","Ingen spørgsmål")</f>
        <v>Ingen spørgsmål</v>
      </c>
      <c r="J137" s="64"/>
      <c r="K137" s="64"/>
    </row>
    <row r="138" spans="1:11" ht="113.65" customHeight="1" x14ac:dyDescent="0.45">
      <c r="A138" s="58" t="str">
        <f>Arbejdsark!$A$462</f>
        <v>Byggeprogram</v>
      </c>
      <c r="B138" s="327" t="str">
        <f>Arbejdsark!$B$462</f>
        <v>1.1</v>
      </c>
      <c r="C138" s="45" t="str">
        <f>IF('Sortering af spørgsmål'!$C$26=Projektforudsætninger!$C$23,Arbejdsark!C462,"")</f>
        <v/>
      </c>
      <c r="D138" s="46">
        <f>Arbejdsark!D145</f>
        <v>0</v>
      </c>
      <c r="E138" s="45">
        <f>Arbejdsark!I145</f>
        <v>0</v>
      </c>
      <c r="F138" s="45">
        <f>Arbejdsark!J145</f>
        <v>0</v>
      </c>
      <c r="G138" s="45" t="e">
        <f>Arbejdsark!#REF!</f>
        <v>#REF!</v>
      </c>
      <c r="H138" s="45" t="e">
        <f>Arbejdsark!#REF!</f>
        <v>#REF!</v>
      </c>
      <c r="I138" s="45" t="str">
        <f>IF('Sortering af spørgsmål'!$C$26=Projektforudsætninger!$C$23,Arbejdsark!K462,"")</f>
        <v/>
      </c>
      <c r="J138" s="41" t="s">
        <v>9</v>
      </c>
      <c r="K138" s="41"/>
    </row>
    <row r="139" spans="1:11" x14ac:dyDescent="0.45">
      <c r="A139" s="45"/>
      <c r="B139" s="319"/>
      <c r="C139" s="45"/>
      <c r="D139" s="46"/>
      <c r="E139" s="45"/>
      <c r="F139" s="45"/>
      <c r="G139" s="45"/>
      <c r="H139" s="45"/>
      <c r="I139" s="45"/>
      <c r="J139" s="47"/>
      <c r="K139" s="47"/>
    </row>
    <row r="140" spans="1:11" ht="28.5" customHeight="1" x14ac:dyDescent="0.45">
      <c r="A140" s="62" t="str">
        <f>Arbejdsark!$A$467</f>
        <v>Integreret designproces</v>
      </c>
      <c r="B140" s="328">
        <v>2</v>
      </c>
      <c r="C140" s="62"/>
      <c r="D140" s="62"/>
      <c r="E140" s="62"/>
      <c r="F140" s="62"/>
      <c r="G140" s="62"/>
      <c r="H140" s="62"/>
      <c r="I140" s="63" t="str">
        <f>IF('Sortering af spørgsmål'!$C$27=Projektforudsætninger!$C$23,"Udfyld spørgsmål","Ingen spørgsmål")</f>
        <v>Ingen spørgsmål</v>
      </c>
      <c r="J140" s="64"/>
      <c r="K140" s="64"/>
    </row>
    <row r="141" spans="1:11" ht="70.900000000000006" customHeight="1" x14ac:dyDescent="0.45">
      <c r="A141" s="45" t="str">
        <f>Arbejdsark!$A$467</f>
        <v>Integreret designproces</v>
      </c>
      <c r="B141" s="327" t="str">
        <f>Arbejdsark!$B$467</f>
        <v>2.1</v>
      </c>
      <c r="C141" s="45" t="str">
        <f>IF('Sortering af spørgsmål'!$C$27=Projektforudsætninger!$C$23,Arbejdsark!C467,"")</f>
        <v/>
      </c>
      <c r="D141" s="46">
        <f>Arbejdsark!D147</f>
        <v>0</v>
      </c>
      <c r="E141" s="45">
        <f>Arbejdsark!I147</f>
        <v>0</v>
      </c>
      <c r="F141" s="45">
        <f>Arbejdsark!J147</f>
        <v>0</v>
      </c>
      <c r="G141" s="45" t="e">
        <f>Arbejdsark!#REF!</f>
        <v>#REF!</v>
      </c>
      <c r="H141" s="45" t="e">
        <f>Arbejdsark!#REF!</f>
        <v>#REF!</v>
      </c>
      <c r="I141" s="45" t="str">
        <f>IF('Sortering af spørgsmål'!$C$27=Projektforudsætninger!$C$23,Arbejdsark!K467,"")</f>
        <v/>
      </c>
      <c r="J141" s="41" t="s">
        <v>9</v>
      </c>
      <c r="K141" s="41"/>
    </row>
    <row r="142" spans="1:11" ht="113.65" customHeight="1" x14ac:dyDescent="0.45">
      <c r="A142" s="45" t="str">
        <f>Arbejdsark!$A$467</f>
        <v>Integreret designproces</v>
      </c>
      <c r="B142" s="327" t="str">
        <f>Arbejdsark!$B$472</f>
        <v>2.2</v>
      </c>
      <c r="C142" s="45" t="str">
        <f>IF('Sortering af spørgsmål'!$C$27=Projektforudsætninger!$C$23,Arbejdsark!C472,"")</f>
        <v/>
      </c>
      <c r="D142" s="46">
        <f>Arbejdsark!D148</f>
        <v>0</v>
      </c>
      <c r="E142" s="45">
        <f>Arbejdsark!I148</f>
        <v>0</v>
      </c>
      <c r="F142" s="45">
        <f>Arbejdsark!J148</f>
        <v>0</v>
      </c>
      <c r="G142" s="45" t="e">
        <f>Arbejdsark!#REF!</f>
        <v>#REF!</v>
      </c>
      <c r="H142" s="45" t="e">
        <f>Arbejdsark!#REF!</f>
        <v>#REF!</v>
      </c>
      <c r="I142" s="45" t="str">
        <f>IF('Sortering af spørgsmål'!$C$27=Projektforudsætninger!$C$23,Arbejdsark!K472,"")</f>
        <v/>
      </c>
      <c r="J142" s="41" t="s">
        <v>9</v>
      </c>
      <c r="K142" s="41"/>
    </row>
    <row r="143" spans="1:11" ht="85.15" customHeight="1" x14ac:dyDescent="0.45">
      <c r="A143" s="45" t="str">
        <f>Arbejdsark!$A$467</f>
        <v>Integreret designproces</v>
      </c>
      <c r="B143" s="327" t="str">
        <f>Arbejdsark!$B$477</f>
        <v>2.3</v>
      </c>
      <c r="C143" s="45" t="str">
        <f>IF('Sortering af spørgsmål'!$C$27=Projektforudsætninger!$C$23,Arbejdsark!C477,"")</f>
        <v/>
      </c>
      <c r="D143" s="46" t="str">
        <f>Arbejdsark!D149</f>
        <v>ECO2.1
Vægtning: 25 % af ECO2.1 pkt. 6</v>
      </c>
      <c r="E143" s="45" t="str">
        <f>Arbejdsark!I149</f>
        <v>x</v>
      </c>
      <c r="F143" s="45">
        <f>Arbejdsark!J149</f>
        <v>0</v>
      </c>
      <c r="G143" s="45" t="e">
        <f>Arbejdsark!#REF!</f>
        <v>#REF!</v>
      </c>
      <c r="H143" s="45" t="e">
        <f>Arbejdsark!#REF!</f>
        <v>#REF!</v>
      </c>
      <c r="I143" s="45" t="str">
        <f>IF('Sortering af spørgsmål'!$C$27=Projektforudsætninger!$C$23,Arbejdsark!K477,"")</f>
        <v/>
      </c>
      <c r="J143" s="41" t="s">
        <v>9</v>
      </c>
      <c r="K143" s="41"/>
    </row>
    <row r="144" spans="1:11" ht="85.15" customHeight="1" x14ac:dyDescent="0.45">
      <c r="A144" s="45" t="str">
        <f>Arbejdsark!$A$467</f>
        <v>Integreret designproces</v>
      </c>
      <c r="B144" s="327" t="str">
        <f>Arbejdsark!$B$482</f>
        <v>2.4</v>
      </c>
      <c r="C144" s="45" t="str">
        <f>IF('Sortering af spørgsmål'!$C$27=Projektforudsætninger!$C$23,Arbejdsark!C482,"")</f>
        <v/>
      </c>
      <c r="D144" s="46">
        <f>Arbejdsark!D150</f>
        <v>0</v>
      </c>
      <c r="E144" s="45">
        <f>Arbejdsark!I150</f>
        <v>0</v>
      </c>
      <c r="F144" s="45">
        <f>Arbejdsark!J150</f>
        <v>0</v>
      </c>
      <c r="G144" s="45" t="e">
        <f>Arbejdsark!#REF!</f>
        <v>#REF!</v>
      </c>
      <c r="H144" s="45" t="e">
        <f>Arbejdsark!#REF!</f>
        <v>#REF!</v>
      </c>
      <c r="I144" s="45" t="str">
        <f>IF('Sortering af spørgsmål'!$C$27=Projektforudsætninger!$C$23,Arbejdsark!K482,"")</f>
        <v/>
      </c>
      <c r="J144" s="41" t="s">
        <v>9</v>
      </c>
      <c r="K144" s="41"/>
    </row>
    <row r="145" spans="1:11" ht="85.15" customHeight="1" x14ac:dyDescent="0.45">
      <c r="A145" s="45" t="str">
        <f>Arbejdsark!$A$467</f>
        <v>Integreret designproces</v>
      </c>
      <c r="B145" s="327" t="str">
        <f>Arbejdsark!$B$487</f>
        <v>2.5</v>
      </c>
      <c r="C145" s="45" t="str">
        <f>IF('Sortering af spørgsmål'!$C$27=Projektforudsætninger!$C$23,Arbejdsark!C487,"")</f>
        <v/>
      </c>
      <c r="D145" s="46">
        <f>Arbejdsark!D151</f>
        <v>0</v>
      </c>
      <c r="E145" s="45">
        <f>Arbejdsark!I151</f>
        <v>0</v>
      </c>
      <c r="F145" s="45">
        <f>Arbejdsark!J151</f>
        <v>0</v>
      </c>
      <c r="G145" s="45" t="e">
        <f>Arbejdsark!#REF!</f>
        <v>#REF!</v>
      </c>
      <c r="H145" s="45" t="e">
        <f>Arbejdsark!#REF!</f>
        <v>#REF!</v>
      </c>
      <c r="I145" s="45" t="str">
        <f>IF('Sortering af spørgsmål'!$C$27=Projektforudsætninger!$C$23,Arbejdsark!K487,"")</f>
        <v/>
      </c>
      <c r="J145" s="41" t="s">
        <v>9</v>
      </c>
      <c r="K145" s="41"/>
    </row>
    <row r="146" spans="1:11" x14ac:dyDescent="0.45">
      <c r="A146" s="45"/>
      <c r="B146" s="319"/>
      <c r="C146" s="45"/>
      <c r="D146" s="46"/>
      <c r="E146" s="45"/>
      <c r="F146" s="45"/>
      <c r="G146" s="45"/>
      <c r="H146" s="45"/>
      <c r="I146" s="45"/>
      <c r="J146" s="47"/>
      <c r="K146" s="47"/>
    </row>
    <row r="147" spans="1:11" ht="28.5" customHeight="1" x14ac:dyDescent="0.45">
      <c r="A147" s="62" t="str">
        <f>Arbejdsark!$A$492</f>
        <v>Koncepter</v>
      </c>
      <c r="B147" s="328">
        <v>3</v>
      </c>
      <c r="C147" s="62"/>
      <c r="D147" s="62"/>
      <c r="E147" s="62"/>
      <c r="F147" s="62"/>
      <c r="G147" s="62"/>
      <c r="H147" s="62"/>
      <c r="I147" s="63" t="str">
        <f>IF('Sortering af spørgsmål'!$C$28=Projektforudsætninger!$C$23,"Udfyld spørgsmål","Ingen spørgsmål")</f>
        <v>Ingen spørgsmål</v>
      </c>
      <c r="J147" s="64"/>
      <c r="K147" s="64"/>
    </row>
    <row r="148" spans="1:11" ht="170.25" customHeight="1" x14ac:dyDescent="0.45">
      <c r="A148" s="45" t="str">
        <f>Arbejdsark!$A$492</f>
        <v>Koncepter</v>
      </c>
      <c r="B148" s="327" t="str">
        <f>Arbejdsark!$B$492</f>
        <v>3.1</v>
      </c>
      <c r="C148" s="45" t="str">
        <f>IF('Sortering af spørgsmål'!$C$28=Projektforudsætninger!$C$23,Arbejdsark!C492,"")</f>
        <v/>
      </c>
      <c r="D148" s="46">
        <f>Arbejdsark!D152</f>
        <v>0</v>
      </c>
      <c r="E148" s="45">
        <f>Arbejdsark!I152</f>
        <v>0</v>
      </c>
      <c r="F148" s="45">
        <f>Arbejdsark!J152</f>
        <v>0</v>
      </c>
      <c r="G148" s="45" t="e">
        <f>Arbejdsark!#REF!</f>
        <v>#REF!</v>
      </c>
      <c r="H148" s="45" t="e">
        <f>Arbejdsark!#REF!</f>
        <v>#REF!</v>
      </c>
      <c r="I148" s="45" t="str">
        <f>IF('Sortering af spørgsmål'!$C$28=Projektforudsætninger!$C$23,Arbejdsark!K492,"")</f>
        <v/>
      </c>
      <c r="J148" s="41" t="s">
        <v>9</v>
      </c>
      <c r="K148" s="41"/>
    </row>
    <row r="149" spans="1:11" x14ac:dyDescent="0.45">
      <c r="A149" s="45"/>
      <c r="B149" s="319"/>
      <c r="C149" s="45"/>
      <c r="D149" s="46"/>
      <c r="E149" s="45"/>
      <c r="F149" s="45"/>
      <c r="G149" s="45"/>
      <c r="H149" s="45"/>
      <c r="I149" s="45"/>
      <c r="J149" s="47"/>
      <c r="K149" s="47"/>
    </row>
    <row r="150" spans="1:11" ht="28.5" customHeight="1" x14ac:dyDescent="0.45">
      <c r="A150" s="62" t="str">
        <f>Arbejdsark!$A$497</f>
        <v>Entrepriseudbud</v>
      </c>
      <c r="B150" s="328">
        <v>4</v>
      </c>
      <c r="C150" s="62"/>
      <c r="D150" s="62"/>
      <c r="E150" s="62"/>
      <c r="F150" s="62"/>
      <c r="G150" s="62"/>
      <c r="H150" s="62"/>
      <c r="I150" s="63" t="str">
        <f>IF('Sortering af spørgsmål'!$C$29=Projektforudsætninger!$C$23,"Udfyld spørgsmål","Ingen spørgsmål")</f>
        <v>Ingen spørgsmål</v>
      </c>
      <c r="J150" s="64"/>
      <c r="K150" s="64"/>
    </row>
    <row r="151" spans="1:11" ht="85.15" customHeight="1" x14ac:dyDescent="0.45">
      <c r="A151" s="45" t="str">
        <f>Arbejdsark!$A$497</f>
        <v>Entrepriseudbud</v>
      </c>
      <c r="B151" s="327" t="str">
        <f>Arbejdsark!$B$497</f>
        <v>4.1</v>
      </c>
      <c r="C151" s="45" t="str">
        <f>IF('Sortering af spørgsmål'!$C$29=Projektforudsætninger!$C$23,Arbejdsark!C497,"")</f>
        <v/>
      </c>
      <c r="D151" s="46">
        <f>Arbejdsark!D157</f>
        <v>0</v>
      </c>
      <c r="E151" s="45">
        <f>Arbejdsark!I157</f>
        <v>0</v>
      </c>
      <c r="F151" s="45">
        <f>Arbejdsark!J157</f>
        <v>0</v>
      </c>
      <c r="G151" s="45" t="e">
        <f>Arbejdsark!#REF!</f>
        <v>#REF!</v>
      </c>
      <c r="H151" s="45" t="e">
        <f>Arbejdsark!#REF!</f>
        <v>#REF!</v>
      </c>
      <c r="I151" s="45" t="str">
        <f>IF('Sortering af spørgsmål'!$C$29=Projektforudsætninger!$C$23,Arbejdsark!K497,"")</f>
        <v/>
      </c>
      <c r="J151" s="41" t="s">
        <v>9</v>
      </c>
      <c r="K151" s="41"/>
    </row>
    <row r="152" spans="1:11" x14ac:dyDescent="0.45">
      <c r="A152" s="45"/>
      <c r="B152" s="319"/>
      <c r="C152" s="45"/>
      <c r="D152" s="46"/>
      <c r="E152" s="45"/>
      <c r="F152" s="45"/>
      <c r="G152" s="45"/>
      <c r="H152" s="45"/>
      <c r="I152" s="45"/>
      <c r="J152" s="47"/>
      <c r="K152" s="47"/>
    </row>
    <row r="153" spans="1:11" ht="28.5" x14ac:dyDescent="0.45">
      <c r="A153" s="62" t="str">
        <f>Arbejdsark!$A$502</f>
        <v>Kvalitet af aflevering til driftspersonale</v>
      </c>
      <c r="B153" s="328">
        <v>5</v>
      </c>
      <c r="C153" s="62"/>
      <c r="D153" s="62"/>
      <c r="E153" s="62"/>
      <c r="F153" s="62"/>
      <c r="G153" s="62"/>
      <c r="H153" s="62"/>
      <c r="I153" s="63" t="str">
        <f>IF('Sortering af spørgsmål'!$C$30=Projektforudsætninger!$C$23,"Udfyld spørgsmål","Ingen spørgsmål")</f>
        <v>Ingen spørgsmål</v>
      </c>
      <c r="J153" s="64"/>
      <c r="K153" s="64"/>
    </row>
    <row r="154" spans="1:11" ht="113.65" customHeight="1" x14ac:dyDescent="0.45">
      <c r="A154" s="45" t="str">
        <f>Arbejdsark!$A$502</f>
        <v>Kvalitet af aflevering til driftspersonale</v>
      </c>
      <c r="B154" s="327" t="str">
        <f>Arbejdsark!$B$502</f>
        <v>5.1</v>
      </c>
      <c r="C154" s="45" t="str">
        <f>IF('Sortering af spørgsmål'!$C$30=Projektforudsætninger!$C$23,Arbejdsark!C502,"")</f>
        <v/>
      </c>
      <c r="D154" s="46">
        <f>Arbejdsark!D160</f>
        <v>0</v>
      </c>
      <c r="E154" s="45">
        <f>Arbejdsark!I160</f>
        <v>0</v>
      </c>
      <c r="F154" s="45">
        <f>Arbejdsark!J160</f>
        <v>0</v>
      </c>
      <c r="G154" s="45" t="e">
        <f>Arbejdsark!#REF!</f>
        <v>#REF!</v>
      </c>
      <c r="H154" s="45" t="e">
        <f>Arbejdsark!#REF!</f>
        <v>#REF!</v>
      </c>
      <c r="I154" s="45" t="str">
        <f>IF('Sortering af spørgsmål'!$C$30=Projektforudsætninger!$C$23,Arbejdsark!K502,"")</f>
        <v/>
      </c>
      <c r="J154" s="41" t="s">
        <v>9</v>
      </c>
      <c r="K154" s="41"/>
    </row>
    <row r="155" spans="1:11" ht="113.65" customHeight="1" x14ac:dyDescent="0.45">
      <c r="A155" s="45" t="str">
        <f>Arbejdsark!$A$502</f>
        <v>Kvalitet af aflevering til driftspersonale</v>
      </c>
      <c r="B155" s="327" t="str">
        <f>Arbejdsark!$B$507</f>
        <v>5.2</v>
      </c>
      <c r="C155" s="45" t="str">
        <f>IF('Sortering af spørgsmål'!$C$30=Projektforudsætninger!$C$23,Arbejdsark!C507,"")</f>
        <v/>
      </c>
      <c r="D155" s="46">
        <f>Arbejdsark!D161</f>
        <v>0</v>
      </c>
      <c r="E155" s="45">
        <f>Arbejdsark!I161</f>
        <v>0</v>
      </c>
      <c r="F155" s="45">
        <f>Arbejdsark!J161</f>
        <v>0</v>
      </c>
      <c r="G155" s="45" t="e">
        <f>Arbejdsark!#REF!</f>
        <v>#REF!</v>
      </c>
      <c r="H155" s="45" t="e">
        <f>Arbejdsark!#REF!</f>
        <v>#REF!</v>
      </c>
      <c r="I155" s="45" t="str">
        <f>IF('Sortering af spørgsmål'!$C$30=Projektforudsætninger!$C$23,Arbejdsark!K507,"")</f>
        <v/>
      </c>
      <c r="J155" s="41" t="s">
        <v>9</v>
      </c>
      <c r="K155" s="41"/>
    </row>
    <row r="156" spans="1:11" ht="113.65" customHeight="1" x14ac:dyDescent="0.45">
      <c r="A156" s="45" t="str">
        <f>Arbejdsark!$A$502</f>
        <v>Kvalitet af aflevering til driftspersonale</v>
      </c>
      <c r="B156" s="327" t="str">
        <f>Arbejdsark!$B$512</f>
        <v>5.3</v>
      </c>
      <c r="C156" s="45" t="str">
        <f>IF('Sortering af spørgsmål'!$C$30=Projektforudsætninger!$C$23,Arbejdsark!C512,"")</f>
        <v/>
      </c>
      <c r="D156" s="46">
        <f>Arbejdsark!D162</f>
        <v>0</v>
      </c>
      <c r="E156" s="45">
        <f>Arbejdsark!I162</f>
        <v>0</v>
      </c>
      <c r="F156" s="45">
        <f>Arbejdsark!J162</f>
        <v>0</v>
      </c>
      <c r="G156" s="45" t="e">
        <f>Arbejdsark!#REF!</f>
        <v>#REF!</v>
      </c>
      <c r="H156" s="45" t="e">
        <f>Arbejdsark!#REF!</f>
        <v>#REF!</v>
      </c>
      <c r="I156" s="45" t="str">
        <f>IF('Sortering af spørgsmål'!$C$30=Projektforudsætninger!$C$23,Arbejdsark!K512,"")</f>
        <v/>
      </c>
      <c r="J156" s="41" t="s">
        <v>9</v>
      </c>
      <c r="K156" s="41"/>
    </row>
    <row r="157" spans="1:11" x14ac:dyDescent="0.45">
      <c r="A157" s="45"/>
      <c r="B157" s="319"/>
      <c r="C157" s="45"/>
      <c r="D157" s="46"/>
      <c r="E157" s="45"/>
      <c r="F157" s="45"/>
      <c r="G157" s="45"/>
      <c r="H157" s="45"/>
      <c r="I157" s="45"/>
      <c r="J157" s="47"/>
      <c r="K157" s="47"/>
    </row>
    <row r="158" spans="1:11" ht="28.5" customHeight="1" x14ac:dyDescent="0.45">
      <c r="A158" s="62" t="str">
        <f>Arbejdsark!$A$517</f>
        <v>Byggeplads</v>
      </c>
      <c r="B158" s="328">
        <v>6</v>
      </c>
      <c r="C158" s="62"/>
      <c r="D158" s="62"/>
      <c r="E158" s="62"/>
      <c r="F158" s="62"/>
      <c r="G158" s="62"/>
      <c r="H158" s="62"/>
      <c r="I158" s="63" t="str">
        <f>IF('Sortering af spørgsmål'!$C$31=Projektforudsætninger!$C$23,"Udfyld spørgsmål","Ingen spørgsmål")</f>
        <v>Ingen spørgsmål</v>
      </c>
      <c r="J158" s="64"/>
      <c r="K158" s="64"/>
    </row>
    <row r="159" spans="1:11" ht="141.75" customHeight="1" x14ac:dyDescent="0.45">
      <c r="A159" s="45" t="str">
        <f>Arbejdsark!$A$517</f>
        <v>Byggeplads</v>
      </c>
      <c r="B159" s="327" t="str">
        <f>Arbejdsark!$B$517</f>
        <v>6.1</v>
      </c>
      <c r="C159" s="45" t="str">
        <f>IF('Sortering af spørgsmål'!$C$31=Projektforudsætninger!$C$23,Arbejdsark!C517,"")</f>
        <v/>
      </c>
      <c r="D159" s="46">
        <f>Arbejdsark!D163</f>
        <v>0</v>
      </c>
      <c r="E159" s="45">
        <f>Arbejdsark!I163</f>
        <v>0</v>
      </c>
      <c r="F159" s="45">
        <f>Arbejdsark!J163</f>
        <v>0</v>
      </c>
      <c r="G159" s="45" t="e">
        <f>Arbejdsark!#REF!</f>
        <v>#REF!</v>
      </c>
      <c r="H159" s="45" t="e">
        <f>Arbejdsark!#REF!</f>
        <v>#REF!</v>
      </c>
      <c r="I159" s="45" t="str">
        <f>IF('Sortering af spørgsmål'!$C$31=Projektforudsætninger!$C$23,Arbejdsark!K517,"")</f>
        <v/>
      </c>
      <c r="J159" s="41" t="s">
        <v>9</v>
      </c>
      <c r="K159" s="41"/>
    </row>
    <row r="160" spans="1:11" ht="141.75" customHeight="1" x14ac:dyDescent="0.45">
      <c r="A160" s="45" t="str">
        <f>Arbejdsark!$A$517</f>
        <v>Byggeplads</v>
      </c>
      <c r="B160" s="327" t="str">
        <f>Arbejdsark!$B$522</f>
        <v>6.2</v>
      </c>
      <c r="C160" s="45" t="str">
        <f>IF('Sortering af spørgsmål'!$C$31=Projektforudsætninger!$C$23,Arbejdsark!C522,"")</f>
        <v/>
      </c>
      <c r="D160" s="46" t="e">
        <f>Arbejdsark!#REF!</f>
        <v>#REF!</v>
      </c>
      <c r="E160" s="45" t="e">
        <f>Arbejdsark!#REF!</f>
        <v>#REF!</v>
      </c>
      <c r="F160" s="45" t="e">
        <f>Arbejdsark!#REF!</f>
        <v>#REF!</v>
      </c>
      <c r="G160" s="45" t="e">
        <f>Arbejdsark!#REF!</f>
        <v>#REF!</v>
      </c>
      <c r="H160" s="45" t="e">
        <f>Arbejdsark!#REF!</f>
        <v>#REF!</v>
      </c>
      <c r="I160" s="45" t="str">
        <f>IF('Sortering af spørgsmål'!$C$31=Projektforudsætninger!$C$23,Arbejdsark!K522,"")</f>
        <v/>
      </c>
      <c r="J160" s="41" t="s">
        <v>9</v>
      </c>
      <c r="K160" s="41"/>
    </row>
    <row r="161" spans="1:11" ht="141.75" customHeight="1" x14ac:dyDescent="0.45">
      <c r="A161" s="45" t="str">
        <f>Arbejdsark!$A$517</f>
        <v>Byggeplads</v>
      </c>
      <c r="B161" s="327" t="str">
        <f>Arbejdsark!$B$527</f>
        <v>6.3</v>
      </c>
      <c r="C161" s="45" t="str">
        <f>IF('Sortering af spørgsmål'!$C$31=Projektforudsætninger!$C$23,Arbejdsark!C527,"")</f>
        <v/>
      </c>
      <c r="D161" s="46" t="e">
        <f>Arbejdsark!#REF!</f>
        <v>#REF!</v>
      </c>
      <c r="E161" s="45" t="e">
        <f>Arbejdsark!#REF!</f>
        <v>#REF!</v>
      </c>
      <c r="F161" s="45" t="e">
        <f>Arbejdsark!#REF!</f>
        <v>#REF!</v>
      </c>
      <c r="G161" s="45" t="e">
        <f>Arbejdsark!#REF!</f>
        <v>#REF!</v>
      </c>
      <c r="H161" s="45" t="e">
        <f>Arbejdsark!#REF!</f>
        <v>#REF!</v>
      </c>
      <c r="I161" s="45" t="str">
        <f>IF('Sortering af spørgsmål'!$C$31=Projektforudsætninger!$C$23,Arbejdsark!K527,"")</f>
        <v/>
      </c>
      <c r="J161" s="41" t="s">
        <v>9</v>
      </c>
      <c r="K161" s="41"/>
    </row>
    <row r="162" spans="1:11" ht="113.65" customHeight="1" x14ac:dyDescent="0.45">
      <c r="A162" s="45" t="str">
        <f>Arbejdsark!$A$517</f>
        <v>Byggeplads</v>
      </c>
      <c r="B162" s="327" t="str">
        <f>Arbejdsark!$B$532</f>
        <v>6.4</v>
      </c>
      <c r="C162" s="45" t="str">
        <f>IF('Sortering af spørgsmål'!$C$31=Projektforudsætninger!$C$23,Arbejdsark!C532,"")</f>
        <v/>
      </c>
      <c r="D162" s="46" t="e">
        <f>Arbejdsark!#REF!</f>
        <v>#REF!</v>
      </c>
      <c r="E162" s="45" t="e">
        <f>Arbejdsark!#REF!</f>
        <v>#REF!</v>
      </c>
      <c r="F162" s="45" t="e">
        <f>Arbejdsark!#REF!</f>
        <v>#REF!</v>
      </c>
      <c r="G162" s="45" t="e">
        <f>Arbejdsark!#REF!</f>
        <v>#REF!</v>
      </c>
      <c r="H162" s="45" t="e">
        <f>Arbejdsark!#REF!</f>
        <v>#REF!</v>
      </c>
      <c r="I162" s="45" t="str">
        <f>IF('Sortering af spørgsmål'!$C$31=Projektforudsætninger!$C$23,Arbejdsark!K532,"")</f>
        <v/>
      </c>
      <c r="J162" s="41" t="s">
        <v>9</v>
      </c>
      <c r="K162" s="41"/>
    </row>
    <row r="163" spans="1:11" ht="113.65" customHeight="1" x14ac:dyDescent="0.45">
      <c r="A163" s="45" t="str">
        <f>Arbejdsark!$A$517</f>
        <v>Byggeplads</v>
      </c>
      <c r="B163" s="327" t="str">
        <f>Arbejdsark!$B$537</f>
        <v>6.5</v>
      </c>
      <c r="C163" s="45" t="str">
        <f>IF('Sortering af spørgsmål'!$C$31=Projektforudsætninger!$C$23,Arbejdsark!C537,"")</f>
        <v/>
      </c>
      <c r="D163" s="46" t="e">
        <f>Arbejdsark!#REF!</f>
        <v>#REF!</v>
      </c>
      <c r="E163" s="45" t="e">
        <f>Arbejdsark!#REF!</f>
        <v>#REF!</v>
      </c>
      <c r="F163" s="45" t="e">
        <f>Arbejdsark!#REF!</f>
        <v>#REF!</v>
      </c>
      <c r="G163" s="45" t="e">
        <f>Arbejdsark!#REF!</f>
        <v>#REF!</v>
      </c>
      <c r="H163" s="45" t="e">
        <f>Arbejdsark!#REF!</f>
        <v>#REF!</v>
      </c>
      <c r="I163" s="45" t="str">
        <f>IF('Sortering af spørgsmål'!$C$31=Projektforudsætninger!$C$23,Arbejdsark!K537,"")</f>
        <v/>
      </c>
      <c r="J163" s="41" t="s">
        <v>9</v>
      </c>
      <c r="K163" s="41"/>
    </row>
    <row r="164" spans="1:11" ht="113.65" customHeight="1" x14ac:dyDescent="0.45">
      <c r="A164" s="45" t="str">
        <f>Arbejdsark!$A$517</f>
        <v>Byggeplads</v>
      </c>
      <c r="B164" s="327" t="str">
        <f>Arbejdsark!$B$542</f>
        <v>6.6</v>
      </c>
      <c r="C164" s="45" t="str">
        <f>IF('Sortering af spørgsmål'!$C$31=Projektforudsætninger!$C$23,Arbejdsark!C542,"")</f>
        <v/>
      </c>
      <c r="D164" s="46" t="e">
        <f>Arbejdsark!#REF!</f>
        <v>#REF!</v>
      </c>
      <c r="E164" s="45" t="e">
        <f>Arbejdsark!#REF!</f>
        <v>#REF!</v>
      </c>
      <c r="F164" s="45" t="e">
        <f>Arbejdsark!#REF!</f>
        <v>#REF!</v>
      </c>
      <c r="G164" s="45" t="e">
        <f>Arbejdsark!#REF!</f>
        <v>#REF!</v>
      </c>
      <c r="H164" s="45" t="e">
        <f>Arbejdsark!#REF!</f>
        <v>#REF!</v>
      </c>
      <c r="I164" s="45" t="str">
        <f>IF('Sortering af spørgsmål'!$C$31=Projektforudsætninger!$C$23,Arbejdsark!K542,"")</f>
        <v/>
      </c>
      <c r="J164" s="41" t="s">
        <v>9</v>
      </c>
      <c r="K164" s="41"/>
    </row>
    <row r="165" spans="1:11" x14ac:dyDescent="0.45">
      <c r="A165" s="45"/>
      <c r="B165" s="319"/>
      <c r="C165" s="45"/>
      <c r="D165" s="46"/>
      <c r="E165" s="45"/>
      <c r="F165" s="45"/>
      <c r="G165" s="45"/>
      <c r="H165" s="45"/>
      <c r="I165" s="45"/>
      <c r="J165" s="47"/>
      <c r="K165" s="47"/>
    </row>
    <row r="166" spans="1:11" ht="42.6" customHeight="1" x14ac:dyDescent="0.45">
      <c r="A166" s="62" t="str">
        <f>Arbejdsark!$A$548</f>
        <v>Eftervisende dokumentation</v>
      </c>
      <c r="B166" s="328">
        <v>7</v>
      </c>
      <c r="C166" s="62"/>
      <c r="D166" s="62"/>
      <c r="E166" s="62"/>
      <c r="F166" s="62"/>
      <c r="G166" s="62"/>
      <c r="H166" s="62"/>
      <c r="I166" s="63" t="str">
        <f>IF('Sortering af spørgsmål'!$C$32=Projektforudsætninger!$C$23,"Udfyld spørgsmål","Ingen spørgsmål")</f>
        <v>Ingen spørgsmål</v>
      </c>
      <c r="J166" s="64"/>
      <c r="K166" s="64"/>
    </row>
    <row r="167" spans="1:11" ht="113.65" customHeight="1" x14ac:dyDescent="0.45">
      <c r="A167" s="45" t="str">
        <f>Arbejdsark!$A$548</f>
        <v>Eftervisende dokumentation</v>
      </c>
      <c r="B167" s="327" t="str">
        <f>Arbejdsark!$B$548</f>
        <v>7.1</v>
      </c>
      <c r="C167" s="45" t="str">
        <f>IF('Sortering af spørgsmål'!$C$32=Projektforudsætninger!$C$23,Arbejdsark!C548,"")</f>
        <v/>
      </c>
      <c r="D167" s="46" t="e">
        <f>Arbejdsark!#REF!</f>
        <v>#REF!</v>
      </c>
      <c r="E167" s="45" t="e">
        <f>Arbejdsark!#REF!</f>
        <v>#REF!</v>
      </c>
      <c r="F167" s="45" t="e">
        <f>Arbejdsark!#REF!</f>
        <v>#REF!</v>
      </c>
      <c r="G167" s="45" t="e">
        <f>Arbejdsark!#REF!</f>
        <v>#REF!</v>
      </c>
      <c r="H167" s="45" t="e">
        <f>Arbejdsark!#REF!</f>
        <v>#REF!</v>
      </c>
      <c r="I167" s="45" t="str">
        <f>IF('Sortering af spørgsmål'!$C$32=Projektforudsætninger!$C$23,Arbejdsark!K548,"")</f>
        <v/>
      </c>
      <c r="J167" s="41" t="s">
        <v>9</v>
      </c>
      <c r="K167" s="41"/>
    </row>
    <row r="168" spans="1:11" ht="113.65" customHeight="1" x14ac:dyDescent="0.45">
      <c r="A168" s="45" t="str">
        <f>Arbejdsark!$A$548</f>
        <v>Eftervisende dokumentation</v>
      </c>
      <c r="B168" s="327" t="str">
        <f>Arbejdsark!$B$553</f>
        <v>7.2</v>
      </c>
      <c r="C168" s="45" t="str">
        <f>IF('Sortering af spørgsmål'!$C$32=Projektforudsætninger!$C$23,Arbejdsark!C553,"")</f>
        <v/>
      </c>
      <c r="D168" s="46" t="e">
        <f>Arbejdsark!#REF!</f>
        <v>#REF!</v>
      </c>
      <c r="E168" s="45" t="e">
        <f>Arbejdsark!#REF!</f>
        <v>#REF!</v>
      </c>
      <c r="F168" s="45" t="e">
        <f>Arbejdsark!#REF!</f>
        <v>#REF!</v>
      </c>
      <c r="G168" s="45" t="e">
        <f>Arbejdsark!#REF!</f>
        <v>#REF!</v>
      </c>
      <c r="H168" s="45" t="e">
        <f>Arbejdsark!#REF!</f>
        <v>#REF!</v>
      </c>
      <c r="I168" s="45" t="str">
        <f>IF('Sortering af spørgsmål'!$C$32=Projektforudsætninger!$C$23,Arbejdsark!K553,"")</f>
        <v/>
      </c>
      <c r="J168" s="41" t="s">
        <v>9</v>
      </c>
      <c r="K168" s="41"/>
    </row>
    <row r="169" spans="1:11" ht="113.65" customHeight="1" x14ac:dyDescent="0.45">
      <c r="A169" s="45" t="str">
        <f>Arbejdsark!$A$548</f>
        <v>Eftervisende dokumentation</v>
      </c>
      <c r="B169" s="327" t="str">
        <f>Arbejdsark!$B$558</f>
        <v>7.3</v>
      </c>
      <c r="C169" s="45" t="str">
        <f>IF('Sortering af spørgsmål'!$C$32=Projektforudsætninger!$C$23,Arbejdsark!C558,"")</f>
        <v/>
      </c>
      <c r="D169" s="46" t="e">
        <f>Arbejdsark!#REF!</f>
        <v>#REF!</v>
      </c>
      <c r="E169" s="45" t="e">
        <f>Arbejdsark!#REF!</f>
        <v>#REF!</v>
      </c>
      <c r="F169" s="45" t="e">
        <f>Arbejdsark!#REF!</f>
        <v>#REF!</v>
      </c>
      <c r="G169" s="45" t="e">
        <f>Arbejdsark!#REF!</f>
        <v>#REF!</v>
      </c>
      <c r="H169" s="45" t="e">
        <f>Arbejdsark!#REF!</f>
        <v>#REF!</v>
      </c>
      <c r="I169" s="45" t="str">
        <f>IF('Sortering af spørgsmål'!$C$32=Projektforudsætninger!$C$23,Arbejdsark!K558,"")</f>
        <v/>
      </c>
      <c r="J169" s="41" t="s">
        <v>9</v>
      </c>
      <c r="K169" s="41"/>
    </row>
    <row r="170" spans="1:11" ht="170.25" customHeight="1" x14ac:dyDescent="0.45">
      <c r="A170" s="45" t="str">
        <f>Arbejdsark!$A$548</f>
        <v>Eftervisende dokumentation</v>
      </c>
      <c r="B170" s="327" t="str">
        <f>Arbejdsark!$B$563</f>
        <v>7.4</v>
      </c>
      <c r="C170" s="45" t="str">
        <f>IF('Sortering af spørgsmål'!$C$32=Projektforudsætninger!$C$23,Arbejdsark!C563,"")</f>
        <v/>
      </c>
      <c r="D170" s="46" t="e">
        <f>Arbejdsark!#REF!</f>
        <v>#REF!</v>
      </c>
      <c r="E170" s="45" t="e">
        <f>Arbejdsark!#REF!</f>
        <v>#REF!</v>
      </c>
      <c r="F170" s="45" t="e">
        <f>Arbejdsark!#REF!</f>
        <v>#REF!</v>
      </c>
      <c r="G170" s="45" t="e">
        <f>Arbejdsark!#REF!</f>
        <v>#REF!</v>
      </c>
      <c r="H170" s="45" t="e">
        <f>Arbejdsark!#REF!</f>
        <v>#REF!</v>
      </c>
      <c r="I170" s="45" t="str">
        <f>IF('Sortering af spørgsmål'!$C$32=Projektforudsætninger!$C$23,Arbejdsark!K563,"")</f>
        <v/>
      </c>
      <c r="J170" s="41" t="s">
        <v>9</v>
      </c>
      <c r="K170" s="41"/>
    </row>
    <row r="171" spans="1:11" x14ac:dyDescent="0.45">
      <c r="A171" s="45" t="str">
        <f>Arbejdsark!$A$548</f>
        <v>Eftervisende dokumentation</v>
      </c>
      <c r="B171" s="327" t="str">
        <f>Arbejdsark!$B$572</f>
        <v>7.5</v>
      </c>
      <c r="C171" s="45" t="str">
        <f>IF('Sortering af spørgsmål'!$C$32=Projektforudsætninger!$C$23,Arbejdsark!$C$572,"")</f>
        <v/>
      </c>
      <c r="D171" s="46"/>
      <c r="E171" s="45"/>
      <c r="F171" s="45"/>
      <c r="G171" s="45"/>
      <c r="H171" s="45"/>
      <c r="I171" s="45" t="str">
        <f>IF('Sortering af spørgsmål'!$C$32=Projektforudsætninger!$C$23,Arbejdsark!$K$572,"")</f>
        <v/>
      </c>
      <c r="J171" s="37" t="s">
        <v>9</v>
      </c>
      <c r="K171" s="41"/>
    </row>
    <row r="172" spans="1:11" ht="28.5" customHeight="1" x14ac:dyDescent="0.45">
      <c r="A172" s="136"/>
      <c r="B172" s="320"/>
      <c r="C172" s="136"/>
      <c r="D172" s="305"/>
      <c r="E172" s="136"/>
      <c r="F172" s="136"/>
      <c r="G172" s="136"/>
      <c r="H172" s="136"/>
      <c r="I172" s="136"/>
      <c r="J172" s="136"/>
      <c r="K172" s="136"/>
    </row>
    <row r="173" spans="1:11" ht="141.75" customHeight="1" x14ac:dyDescent="0.45">
      <c r="A173" s="324"/>
      <c r="B173" s="325"/>
      <c r="C173" s="324"/>
      <c r="D173" s="326"/>
      <c r="E173" s="324"/>
      <c r="F173" s="324"/>
      <c r="G173" s="324"/>
      <c r="H173" s="324"/>
      <c r="I173" s="324"/>
      <c r="J173" s="324"/>
      <c r="K173" s="324"/>
    </row>
  </sheetData>
  <sheetProtection sheet="1" selectLockedCells="1"/>
  <mergeCells count="2">
    <mergeCell ref="B1:H1"/>
    <mergeCell ref="A2:K2"/>
  </mergeCells>
  <dataValidations count="3">
    <dataValidation type="list" allowBlank="1" showInputMessage="1" showErrorMessage="1" sqref="J65 J70" xr:uid="{00000000-0002-0000-0800-000000000000}">
      <formula1>$AD$1:$AD$5</formula1>
    </dataValidation>
    <dataValidation type="list" allowBlank="1" showInputMessage="1" showErrorMessage="1" sqref="J6:J9 J133 J167:J170 J159:J164 J154:J156 J151 J148 J141:J145 J138 J86:J87 J117:J123 J126:J131 J94:J108 J90:J91 J77:J78 J68:J69 J56:J64 J50:J51 J40:J47 J36:J37 J30:J31 J27 J21:J24 J16:J18 J12:J13 J73:J74 J81:J83 J113:J114" xr:uid="{00000000-0002-0000-0800-000001000000}">
      <formula1>$AH$2:$AH$5</formula1>
    </dataValidation>
    <dataValidation type="list" allowBlank="1" showInputMessage="1" showErrorMessage="1" sqref="J171" xr:uid="{00000000-0002-0000-0800-000002000000}">
      <formula1>$AH$3:$AH$6</formula1>
    </dataValidation>
  </dataValidations>
  <pageMargins left="0.23622047244094491" right="0.23622047244094491" top="0.74803149606299213" bottom="0.74803149606299213" header="0.31496062992125984" footer="0.31496062992125984"/>
  <pageSetup paperSize="8" scale="86" fitToHeight="0" orientation="portrait" r:id="rId1"/>
  <headerFooter>
    <oddHeader>&amp;C&amp;9&amp;A</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Arbejdsark!$L$5:$L$7</xm:f>
          </x14:formula1>
          <xm:sqref>J5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4">
    <tabColor rgb="FF00B0F0"/>
    <pageSetUpPr fitToPage="1"/>
  </sheetPr>
  <dimension ref="A1:AI173"/>
  <sheetViews>
    <sheetView view="pageLayout" zoomScale="90" zoomScaleNormal="87" zoomScalePageLayoutView="90" workbookViewId="0">
      <selection activeCell="J6" sqref="J6"/>
    </sheetView>
  </sheetViews>
  <sheetFormatPr defaultColWidth="8.59765625" defaultRowHeight="14.25" x14ac:dyDescent="0.45"/>
  <cols>
    <col min="1" max="1" width="25.265625" style="30" customWidth="1"/>
    <col min="2" max="2" width="4.265625" style="30" customWidth="1"/>
    <col min="3" max="3" width="11.73046875" style="30" customWidth="1"/>
    <col min="4" max="4" width="37.265625" style="30" hidden="1" customWidth="1"/>
    <col min="5" max="8" width="8.73046875" style="30" hidden="1" customWidth="1"/>
    <col min="9" max="9" width="30" style="30" customWidth="1"/>
    <col min="10" max="10" width="32.73046875" style="30" customWidth="1"/>
    <col min="11" max="11" width="14.265625" style="30" customWidth="1"/>
    <col min="12" max="12" width="26.73046875" style="30" customWidth="1"/>
    <col min="13" max="21" width="8.73046875" style="30" hidden="1" customWidth="1"/>
    <col min="22" max="22" width="7.3984375" style="30" hidden="1" customWidth="1"/>
    <col min="23" max="23" width="8.73046875" style="30" customWidth="1"/>
    <col min="24" max="29" width="8.59765625" style="30"/>
    <col min="30" max="30" width="8.59765625" style="30" customWidth="1"/>
    <col min="31" max="33" width="8.73046875" style="30" hidden="1" customWidth="1"/>
    <col min="34" max="35" width="8.59765625" style="30" hidden="1" customWidth="1"/>
    <col min="36" max="16384" width="8.59765625" style="30"/>
  </cols>
  <sheetData>
    <row r="1" spans="1:35" ht="28.5" x14ac:dyDescent="0.45">
      <c r="A1" s="296" t="s">
        <v>188</v>
      </c>
      <c r="B1" s="795" t="str">
        <f>Projektforudsætninger!C24</f>
        <v>-5-</v>
      </c>
      <c r="C1" s="795"/>
      <c r="D1" s="795"/>
      <c r="E1" s="795"/>
      <c r="F1" s="795"/>
      <c r="G1" s="795"/>
      <c r="H1" s="795"/>
      <c r="I1" s="795"/>
      <c r="J1" s="19"/>
      <c r="K1" s="19"/>
      <c r="L1" s="19"/>
      <c r="M1" s="19"/>
      <c r="N1" s="19"/>
      <c r="O1" s="19"/>
      <c r="P1" s="19"/>
      <c r="Q1" s="19"/>
      <c r="R1" s="19"/>
      <c r="S1" s="19"/>
      <c r="T1" s="19"/>
      <c r="U1" s="19"/>
      <c r="V1" s="19"/>
      <c r="AE1" s="30" t="s">
        <v>9</v>
      </c>
    </row>
    <row r="2" spans="1:35" ht="50.25" customHeight="1" x14ac:dyDescent="0.45">
      <c r="A2" s="777" t="s">
        <v>194</v>
      </c>
      <c r="B2" s="777"/>
      <c r="C2" s="777"/>
      <c r="D2" s="777"/>
      <c r="E2" s="777"/>
      <c r="F2" s="777"/>
      <c r="G2" s="777"/>
      <c r="H2" s="777"/>
      <c r="I2" s="777"/>
      <c r="J2" s="777"/>
      <c r="K2" s="777"/>
      <c r="L2" s="777"/>
      <c r="M2" s="19"/>
      <c r="N2" s="19"/>
      <c r="O2" s="19"/>
      <c r="P2" s="19"/>
      <c r="Q2" s="19"/>
      <c r="R2" s="19"/>
      <c r="S2" s="19"/>
      <c r="T2" s="19"/>
      <c r="U2" s="19"/>
      <c r="V2" s="19"/>
      <c r="AE2" s="294" t="s">
        <v>170</v>
      </c>
      <c r="AG2" s="31" t="s">
        <v>171</v>
      </c>
      <c r="AI2" s="30" t="s">
        <v>9</v>
      </c>
    </row>
    <row r="3" spans="1:35" ht="23.25" x14ac:dyDescent="0.45">
      <c r="A3" s="270" t="str">
        <f>Arbejdsark!A2</f>
        <v>MILJØ KVALITET</v>
      </c>
      <c r="B3" s="49"/>
      <c r="C3" s="261"/>
      <c r="D3" s="261"/>
      <c r="E3" s="262"/>
      <c r="F3" s="262"/>
      <c r="G3" s="262"/>
      <c r="H3" s="262"/>
      <c r="I3" s="262"/>
      <c r="J3" s="262"/>
      <c r="K3" s="262"/>
      <c r="L3" s="299"/>
      <c r="M3" s="19"/>
      <c r="N3" s="19"/>
      <c r="O3" s="19"/>
      <c r="P3" s="19"/>
      <c r="Q3" s="19"/>
      <c r="R3" s="19"/>
      <c r="S3" s="19"/>
      <c r="T3" s="19"/>
      <c r="U3" s="19"/>
      <c r="V3" s="19"/>
      <c r="AE3" s="294" t="s">
        <v>498</v>
      </c>
      <c r="AG3" s="31" t="s">
        <v>173</v>
      </c>
      <c r="AI3" s="294" t="s">
        <v>498</v>
      </c>
    </row>
    <row r="4" spans="1:35" s="33" customFormat="1" ht="20.25" customHeight="1" x14ac:dyDescent="0.45">
      <c r="A4" s="67" t="s">
        <v>118</v>
      </c>
      <c r="B4" s="67" t="s">
        <v>179</v>
      </c>
      <c r="C4" s="67" t="s">
        <v>167</v>
      </c>
      <c r="D4" s="68" t="s">
        <v>63</v>
      </c>
      <c r="E4" s="67" t="s">
        <v>190</v>
      </c>
      <c r="F4" s="67" t="s">
        <v>19</v>
      </c>
      <c r="G4" s="67" t="s">
        <v>183</v>
      </c>
      <c r="H4" s="67" t="s">
        <v>191</v>
      </c>
      <c r="I4" s="137" t="s">
        <v>61</v>
      </c>
      <c r="J4" s="67" t="s">
        <v>62</v>
      </c>
      <c r="K4" s="67" t="s">
        <v>185</v>
      </c>
      <c r="L4" s="300"/>
      <c r="M4" s="32"/>
      <c r="N4" s="32"/>
      <c r="O4" s="32"/>
      <c r="P4" s="32"/>
      <c r="Q4" s="32"/>
      <c r="R4" s="32"/>
      <c r="S4" s="32"/>
      <c r="T4" s="32"/>
      <c r="U4" s="32"/>
      <c r="AE4" s="294" t="s">
        <v>499</v>
      </c>
      <c r="AG4" s="31" t="s">
        <v>12</v>
      </c>
      <c r="AI4" s="294" t="s">
        <v>499</v>
      </c>
    </row>
    <row r="5" spans="1:35" ht="28.5" customHeight="1" x14ac:dyDescent="0.45">
      <c r="A5" s="49" t="str">
        <f>Arbejdsark!$A$4</f>
        <v>Materialer</v>
      </c>
      <c r="B5" s="50">
        <v>1</v>
      </c>
      <c r="C5" s="261"/>
      <c r="D5" s="261"/>
      <c r="E5" s="262"/>
      <c r="F5" s="262"/>
      <c r="G5" s="262"/>
      <c r="H5" s="262"/>
      <c r="I5" s="262" t="str">
        <f>IF('Sortering af spørgsmål'!$C$6=Projektforudsætninger!$C$24,"Udfyld spørgsmål","Ingen spørgsmål")</f>
        <v>Ingen spørgsmål</v>
      </c>
      <c r="J5" s="262"/>
      <c r="K5" s="262"/>
      <c r="L5" s="301"/>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E5" s="294" t="s">
        <v>495</v>
      </c>
      <c r="AI5" s="294" t="s">
        <v>495</v>
      </c>
    </row>
    <row r="6" spans="1:35" ht="141.75" customHeight="1" x14ac:dyDescent="0.45">
      <c r="A6" s="148" t="str">
        <f>Arbejdsark!$A$4</f>
        <v>Materialer</v>
      </c>
      <c r="B6" s="43" t="str">
        <f>Arbejdsark!$B$4</f>
        <v>1.1</v>
      </c>
      <c r="C6" s="45" t="str">
        <f>IF('Sortering af spørgsmål'!C6=Projektforudsætninger!$C$24,Arbejdsark!C4,"")</f>
        <v/>
      </c>
      <c r="D6" s="46"/>
      <c r="E6" s="45"/>
      <c r="F6" s="45"/>
      <c r="G6" s="45"/>
      <c r="H6" s="45"/>
      <c r="I6" s="45" t="str">
        <f>IF('Sortering af spørgsmål'!C6=Projektforudsætninger!$C$24,Arbejdsark!K4,"")</f>
        <v/>
      </c>
      <c r="J6" s="41" t="s">
        <v>9</v>
      </c>
      <c r="K6" s="41"/>
      <c r="L6" s="19"/>
      <c r="M6" s="19"/>
      <c r="N6" s="19"/>
      <c r="O6" s="19"/>
      <c r="P6" s="19"/>
      <c r="Q6" s="19"/>
      <c r="R6" s="19"/>
      <c r="S6" s="19"/>
      <c r="T6" s="19"/>
      <c r="U6" s="19"/>
      <c r="AE6" s="294" t="s">
        <v>186</v>
      </c>
    </row>
    <row r="7" spans="1:35" ht="141.75" customHeight="1" x14ac:dyDescent="0.45">
      <c r="A7" s="148" t="str">
        <f>Arbejdsark!$A$4</f>
        <v>Materialer</v>
      </c>
      <c r="B7" s="43" t="str">
        <f>Arbejdsark!$B$10</f>
        <v>1.2</v>
      </c>
      <c r="C7" s="45" t="str">
        <f>IF('Sortering af spørgsmål'!C6=Projektforudsætninger!$C$24,Arbejdsark!C10,"")</f>
        <v/>
      </c>
      <c r="D7" s="46" t="str">
        <f>Arbejdsark!D10</f>
        <v>ENV1.2</v>
      </c>
      <c r="E7" s="45" t="str">
        <f>Arbejdsark!I10</f>
        <v>x</v>
      </c>
      <c r="F7" s="45">
        <f>Arbejdsark!J10</f>
        <v>0</v>
      </c>
      <c r="G7" s="45" t="e">
        <f>Arbejdsark!#REF!</f>
        <v>#REF!</v>
      </c>
      <c r="H7" s="45" t="e">
        <f>Arbejdsark!#REF!</f>
        <v>#REF!</v>
      </c>
      <c r="I7" s="45" t="str">
        <f>IF('Sortering af spørgsmål'!C6=Projektforudsætninger!$C$24,Arbejdsark!K10,"")</f>
        <v/>
      </c>
      <c r="J7" s="41" t="s">
        <v>9</v>
      </c>
      <c r="K7" s="41"/>
      <c r="L7" s="19"/>
      <c r="M7" s="19"/>
      <c r="N7" s="19"/>
      <c r="O7" s="19"/>
      <c r="P7" s="19"/>
      <c r="Q7" s="19"/>
      <c r="R7" s="19"/>
      <c r="S7" s="19"/>
      <c r="T7" s="19"/>
      <c r="U7" s="19"/>
    </row>
    <row r="8" spans="1:35" ht="184.5" customHeight="1" x14ac:dyDescent="0.45">
      <c r="A8" s="148" t="str">
        <f>Arbejdsark!$A$4</f>
        <v>Materialer</v>
      </c>
      <c r="B8" s="43" t="str">
        <f>Arbejdsark!$B$15</f>
        <v>1.3</v>
      </c>
      <c r="C8" s="45" t="str">
        <f>IF('Sortering af spørgsmål'!C6=Projektforudsætninger!$C$24,Arbejdsark!C15,"")</f>
        <v/>
      </c>
      <c r="D8" s="46">
        <f>Arbejdsark!D11</f>
        <v>0</v>
      </c>
      <c r="E8" s="45">
        <f>Arbejdsark!I11</f>
        <v>0</v>
      </c>
      <c r="F8" s="45">
        <f>Arbejdsark!J11</f>
        <v>0</v>
      </c>
      <c r="G8" s="45" t="e">
        <f>Arbejdsark!#REF!</f>
        <v>#REF!</v>
      </c>
      <c r="H8" s="45" t="e">
        <f>Arbejdsark!#REF!</f>
        <v>#REF!</v>
      </c>
      <c r="I8" s="45" t="str">
        <f>IF('Sortering af spørgsmål'!C6=Projektforudsætninger!$C$24,Arbejdsark!K15,"")</f>
        <v/>
      </c>
      <c r="J8" s="41" t="s">
        <v>9</v>
      </c>
      <c r="K8" s="41"/>
      <c r="L8" s="19"/>
      <c r="M8" s="19"/>
      <c r="N8" s="19"/>
      <c r="O8" s="19"/>
      <c r="P8" s="19"/>
      <c r="Q8" s="19"/>
      <c r="R8" s="19"/>
      <c r="S8" s="19"/>
      <c r="T8" s="19"/>
      <c r="U8" s="19"/>
    </row>
    <row r="9" spans="1:35" ht="198.4" customHeight="1" x14ac:dyDescent="0.45">
      <c r="A9" s="148" t="str">
        <f>Arbejdsark!$A$4</f>
        <v>Materialer</v>
      </c>
      <c r="B9" s="43" t="str">
        <f>Arbejdsark!$B$20</f>
        <v>1.4</v>
      </c>
      <c r="C9" s="45" t="str">
        <f>IF('Sortering af spørgsmål'!C6=Projektforudsætninger!$C$24,Arbejdsark!C20,"")</f>
        <v/>
      </c>
      <c r="D9" s="46">
        <f>Arbejdsark!D12</f>
        <v>0</v>
      </c>
      <c r="E9" s="45">
        <f>Arbejdsark!I12</f>
        <v>0</v>
      </c>
      <c r="F9" s="45">
        <f>Arbejdsark!J12</f>
        <v>0</v>
      </c>
      <c r="G9" s="45" t="e">
        <f>Arbejdsark!#REF!</f>
        <v>#REF!</v>
      </c>
      <c r="H9" s="45" t="e">
        <f>Arbejdsark!#REF!</f>
        <v>#REF!</v>
      </c>
      <c r="I9" s="45" t="str">
        <f>IF('Sortering af spørgsmål'!C6=Projektforudsætninger!$C$24,Arbejdsark!K20,"")</f>
        <v/>
      </c>
      <c r="J9" s="41" t="s">
        <v>9</v>
      </c>
      <c r="K9" s="41"/>
      <c r="L9" s="19"/>
      <c r="M9" s="19"/>
      <c r="N9" s="19"/>
      <c r="O9" s="19"/>
      <c r="P9" s="19"/>
      <c r="Q9" s="19"/>
      <c r="R9" s="19"/>
      <c r="S9" s="19"/>
      <c r="T9" s="19"/>
      <c r="U9" s="19"/>
      <c r="AD9" s="294" t="s">
        <v>10</v>
      </c>
      <c r="AF9" s="30">
        <v>1</v>
      </c>
    </row>
    <row r="10" spans="1:35" x14ac:dyDescent="0.45">
      <c r="A10" s="45"/>
      <c r="B10" s="38"/>
      <c r="C10" s="45"/>
      <c r="D10" s="46"/>
      <c r="E10" s="45"/>
      <c r="F10" s="45"/>
      <c r="G10" s="45"/>
      <c r="H10" s="45"/>
      <c r="I10" s="45"/>
      <c r="J10" s="47"/>
      <c r="K10" s="47"/>
      <c r="L10" s="19"/>
      <c r="M10" s="19"/>
      <c r="N10" s="19"/>
      <c r="O10" s="19"/>
      <c r="P10" s="19"/>
      <c r="Q10" s="19"/>
      <c r="R10" s="19"/>
      <c r="S10" s="19"/>
      <c r="T10" s="19"/>
      <c r="U10" s="19"/>
      <c r="AD10" s="294" t="s">
        <v>12</v>
      </c>
      <c r="AF10" s="30">
        <v>2</v>
      </c>
    </row>
    <row r="11" spans="1:35" ht="28.5" customHeight="1" x14ac:dyDescent="0.45">
      <c r="A11" s="50" t="str">
        <f>Arbejdsark!$A$25</f>
        <v>Energi</v>
      </c>
      <c r="B11" s="50">
        <v>2</v>
      </c>
      <c r="C11" s="50"/>
      <c r="D11" s="50"/>
      <c r="E11" s="50"/>
      <c r="F11" s="50"/>
      <c r="G11" s="50"/>
      <c r="H11" s="50"/>
      <c r="I11" s="50" t="str">
        <f>IF('Sortering af spørgsmål'!$C$7=Projektforudsætninger!$C$24,"Udfyld spørgsmål","Ingen spørgsmål")</f>
        <v>Ingen spørgsmål</v>
      </c>
      <c r="J11" s="51"/>
      <c r="K11" s="51"/>
      <c r="L11" s="19"/>
      <c r="M11" s="19"/>
      <c r="N11" s="19"/>
      <c r="O11" s="19"/>
      <c r="P11" s="19"/>
      <c r="Q11" s="19"/>
      <c r="R11" s="19"/>
      <c r="S11" s="19"/>
      <c r="T11" s="19"/>
      <c r="U11" s="19"/>
      <c r="AD11" s="294" t="s">
        <v>192</v>
      </c>
      <c r="AF11" s="30">
        <v>3</v>
      </c>
    </row>
    <row r="12" spans="1:35" ht="255.4" customHeight="1" x14ac:dyDescent="0.45">
      <c r="A12" s="45" t="str">
        <f>Arbejdsark!$A$25</f>
        <v>Energi</v>
      </c>
      <c r="B12" s="43" t="str">
        <f>Arbejdsark!$B$25</f>
        <v>2.1</v>
      </c>
      <c r="C12" s="45" t="str">
        <f>IF('Sortering af spørgsmål'!C7=Projektforudsætninger!$C$24,Arbejdsark!C25,"")</f>
        <v/>
      </c>
      <c r="D12" s="46" t="str">
        <f>Arbejdsark!D15</f>
        <v>ENV1.3</v>
      </c>
      <c r="E12" s="45" t="str">
        <f>Arbejdsark!I15</f>
        <v>x</v>
      </c>
      <c r="F12" s="45">
        <f>Arbejdsark!J15</f>
        <v>0</v>
      </c>
      <c r="G12" s="45" t="e">
        <f>Arbejdsark!#REF!</f>
        <v>#REF!</v>
      </c>
      <c r="H12" s="45" t="e">
        <f>Arbejdsark!#REF!</f>
        <v>#REF!</v>
      </c>
      <c r="I12" s="45" t="str">
        <f>IF('Sortering af spørgsmål'!C7=Projektforudsætninger!$C$24,Arbejdsark!K25,"")</f>
        <v/>
      </c>
      <c r="J12" s="41" t="s">
        <v>9</v>
      </c>
      <c r="K12" s="41"/>
      <c r="L12" s="19"/>
      <c r="M12" s="19"/>
      <c r="N12" s="19"/>
      <c r="O12" s="19"/>
      <c r="P12" s="19"/>
      <c r="Q12" s="19"/>
      <c r="R12" s="19"/>
      <c r="S12" s="19"/>
      <c r="T12" s="19"/>
      <c r="U12" s="19"/>
      <c r="AF12" s="30">
        <v>4</v>
      </c>
    </row>
    <row r="13" spans="1:35" ht="99.4" customHeight="1" x14ac:dyDescent="0.45">
      <c r="A13" s="45" t="str">
        <f>Arbejdsark!$A$25</f>
        <v>Energi</v>
      </c>
      <c r="B13" s="43" t="str">
        <f>Arbejdsark!$B$30</f>
        <v>2.2</v>
      </c>
      <c r="C13" s="45" t="str">
        <f>IF('Sortering af spørgsmål'!C7=Projektforudsætninger!$C$24,Arbejdsark!C30,"")</f>
        <v/>
      </c>
      <c r="D13" s="46">
        <f>Arbejdsark!D16</f>
        <v>0</v>
      </c>
      <c r="E13" s="45">
        <f>Arbejdsark!I16</f>
        <v>0</v>
      </c>
      <c r="F13" s="45">
        <f>Arbejdsark!J16</f>
        <v>0</v>
      </c>
      <c r="G13" s="45" t="e">
        <f>Arbejdsark!#REF!</f>
        <v>#REF!</v>
      </c>
      <c r="H13" s="45" t="e">
        <f>Arbejdsark!#REF!</f>
        <v>#REF!</v>
      </c>
      <c r="I13" s="45" t="str">
        <f>IF('Sortering af spørgsmål'!C7=Projektforudsætninger!$C$24,Arbejdsark!K30,"")</f>
        <v/>
      </c>
      <c r="J13" s="41" t="s">
        <v>9</v>
      </c>
      <c r="K13" s="41"/>
      <c r="L13" s="19"/>
      <c r="M13" s="19"/>
      <c r="N13" s="19"/>
      <c r="O13" s="19"/>
      <c r="P13" s="19"/>
      <c r="Q13" s="19"/>
      <c r="R13" s="19"/>
      <c r="S13" s="19"/>
      <c r="T13" s="19"/>
      <c r="U13" s="19"/>
      <c r="AD13" s="294" t="s">
        <v>51</v>
      </c>
    </row>
    <row r="14" spans="1:35" ht="28.5" customHeight="1" x14ac:dyDescent="0.45">
      <c r="A14" s="45"/>
      <c r="B14" s="23"/>
      <c r="C14" s="45"/>
      <c r="D14" s="46"/>
      <c r="E14" s="45"/>
      <c r="F14" s="45"/>
      <c r="G14" s="45"/>
      <c r="H14" s="45"/>
      <c r="I14" s="45"/>
      <c r="J14" s="47"/>
      <c r="K14" s="47"/>
      <c r="L14" s="19"/>
      <c r="M14" s="19"/>
      <c r="N14" s="19"/>
      <c r="O14" s="19"/>
      <c r="P14" s="19"/>
      <c r="Q14" s="19"/>
      <c r="R14" s="19"/>
      <c r="S14" s="19"/>
      <c r="T14" s="19"/>
      <c r="U14" s="19"/>
      <c r="AD14" s="294" t="s">
        <v>176</v>
      </c>
      <c r="AF14" s="294">
        <v>3</v>
      </c>
    </row>
    <row r="15" spans="1:35" ht="28.5" customHeight="1" x14ac:dyDescent="0.45">
      <c r="A15" s="49" t="str">
        <f>Arbejdsark!$A$35</f>
        <v>Vand</v>
      </c>
      <c r="B15" s="50">
        <v>3</v>
      </c>
      <c r="C15" s="261"/>
      <c r="D15" s="261"/>
      <c r="E15" s="262"/>
      <c r="F15" s="262"/>
      <c r="G15" s="262"/>
      <c r="H15" s="262"/>
      <c r="I15" s="262" t="str">
        <f>IF('Sortering af spørgsmål'!$C$8=Projektforudsætninger!$C$24,"Udfyld spørgsmål","Ingen spørgsmål")</f>
        <v>Ingen spørgsmål</v>
      </c>
      <c r="J15" s="262"/>
      <c r="K15" s="262"/>
      <c r="L15" s="19"/>
      <c r="M15" s="19"/>
      <c r="N15" s="19"/>
      <c r="O15" s="19"/>
      <c r="P15" s="19"/>
      <c r="Q15" s="19"/>
      <c r="R15" s="19"/>
      <c r="S15" s="19"/>
      <c r="T15" s="19"/>
      <c r="U15" s="19"/>
      <c r="AD15" s="294" t="s">
        <v>55</v>
      </c>
      <c r="AE15" s="33"/>
      <c r="AF15" s="294">
        <v>2</v>
      </c>
    </row>
    <row r="16" spans="1:35" ht="170.25" customHeight="1" x14ac:dyDescent="0.45">
      <c r="A16" s="45" t="str">
        <f>Arbejdsark!$A$35</f>
        <v>Vand</v>
      </c>
      <c r="B16" s="43" t="str">
        <f>Arbejdsark!$B$35</f>
        <v>3.1</v>
      </c>
      <c r="C16" s="45" t="str">
        <f>IF('Sortering af spørgsmål'!C8=Projektforudsætninger!$C$24,Arbejdsark!C35,"")</f>
        <v/>
      </c>
      <c r="D16" s="46">
        <f>Arbejdsark!D18</f>
        <v>0</v>
      </c>
      <c r="E16" s="45">
        <f>Arbejdsark!I18</f>
        <v>0</v>
      </c>
      <c r="F16" s="45">
        <f>Arbejdsark!J18</f>
        <v>0</v>
      </c>
      <c r="G16" s="45" t="e">
        <f>Arbejdsark!#REF!</f>
        <v>#REF!</v>
      </c>
      <c r="H16" s="45" t="e">
        <f>Arbejdsark!#REF!</f>
        <v>#REF!</v>
      </c>
      <c r="I16" s="45" t="str">
        <f>IF('Sortering af spørgsmål'!C8=Projektforudsætninger!$C$24,Arbejdsark!K35,"")</f>
        <v/>
      </c>
      <c r="J16" s="41" t="s">
        <v>9</v>
      </c>
      <c r="K16" s="41"/>
      <c r="L16" s="19"/>
      <c r="M16" s="19"/>
      <c r="N16" s="19"/>
      <c r="O16" s="19"/>
      <c r="P16" s="19"/>
      <c r="Q16" s="19"/>
      <c r="R16" s="19"/>
      <c r="S16" s="19"/>
      <c r="T16" s="19"/>
      <c r="U16" s="19"/>
      <c r="AD16" s="294" t="s">
        <v>56</v>
      </c>
      <c r="AF16" s="294" t="s">
        <v>187</v>
      </c>
    </row>
    <row r="17" spans="1:21" ht="170.25" customHeight="1" x14ac:dyDescent="0.45">
      <c r="A17" s="45" t="str">
        <f>Arbejdsark!$A$35</f>
        <v>Vand</v>
      </c>
      <c r="B17" s="43" t="str">
        <f>Arbejdsark!$B$40</f>
        <v>3.2</v>
      </c>
      <c r="C17" s="45" t="str">
        <f>IF('Sortering af spørgsmål'!C8=Projektforudsætninger!$C$24,Arbejdsark!C40,"")</f>
        <v/>
      </c>
      <c r="D17" s="46" t="str">
        <f>Arbejdsark!D20</f>
        <v>ENV1.1 + ENV2.1
Vægtning: 40% af summen af ENV1.1 + ENV2.1 pkt. 1 og 2</v>
      </c>
      <c r="E17" s="45" t="str">
        <f>Arbejdsark!I20</f>
        <v>x</v>
      </c>
      <c r="F17" s="45">
        <f>Arbejdsark!J20</f>
        <v>0</v>
      </c>
      <c r="G17" s="45" t="e">
        <f>Arbejdsark!#REF!</f>
        <v>#REF!</v>
      </c>
      <c r="H17" s="45" t="e">
        <f>Arbejdsark!#REF!</f>
        <v>#REF!</v>
      </c>
      <c r="I17" s="45" t="str">
        <f>IF('Sortering af spørgsmål'!C8=Projektforudsætninger!$C$24,Arbejdsark!K40,"")</f>
        <v/>
      </c>
      <c r="J17" s="41" t="s">
        <v>9</v>
      </c>
      <c r="K17" s="41"/>
      <c r="L17" s="19"/>
      <c r="M17" s="19"/>
      <c r="N17" s="19"/>
      <c r="O17" s="19"/>
      <c r="P17" s="19"/>
      <c r="Q17" s="19"/>
      <c r="R17" s="19"/>
      <c r="S17" s="19"/>
      <c r="T17" s="19"/>
      <c r="U17" s="19"/>
    </row>
    <row r="18" spans="1:21" ht="99.4" customHeight="1" x14ac:dyDescent="0.45">
      <c r="A18" s="45" t="str">
        <f>Arbejdsark!$A$35</f>
        <v>Vand</v>
      </c>
      <c r="B18" s="43" t="str">
        <f>Arbejdsark!$B$45</f>
        <v>3.3</v>
      </c>
      <c r="C18" s="45" t="str">
        <f>IF('Sortering af spørgsmål'!C8=Projektforudsætninger!$C$24,Arbejdsark!C45,"")</f>
        <v/>
      </c>
      <c r="D18" s="46">
        <f>Arbejdsark!D21</f>
        <v>0</v>
      </c>
      <c r="E18" s="45">
        <f>Arbejdsark!I21</f>
        <v>0</v>
      </c>
      <c r="F18" s="45">
        <f>Arbejdsark!J21</f>
        <v>0</v>
      </c>
      <c r="G18" s="45" t="e">
        <f>Arbejdsark!#REF!</f>
        <v>#REF!</v>
      </c>
      <c r="H18" s="45" t="e">
        <f>Arbejdsark!#REF!</f>
        <v>#REF!</v>
      </c>
      <c r="I18" s="45" t="str">
        <f>IF('Sortering af spørgsmål'!$C$8=Projektforudsætninger!$C$24,Arbejdsark!K45,"")</f>
        <v/>
      </c>
      <c r="J18" s="41" t="s">
        <v>9</v>
      </c>
      <c r="K18" s="41"/>
      <c r="L18" s="19"/>
      <c r="M18" s="19"/>
      <c r="N18" s="19"/>
      <c r="O18" s="19"/>
      <c r="P18" s="19"/>
      <c r="Q18" s="19"/>
      <c r="R18" s="19"/>
      <c r="S18" s="19"/>
      <c r="T18" s="19"/>
      <c r="U18" s="19"/>
    </row>
    <row r="19" spans="1:21" ht="28.5" customHeight="1" x14ac:dyDescent="0.45">
      <c r="A19" s="45"/>
      <c r="B19" s="45"/>
      <c r="C19" s="45"/>
      <c r="D19" s="46"/>
      <c r="E19" s="45"/>
      <c r="F19" s="45"/>
      <c r="G19" s="45"/>
      <c r="H19" s="45"/>
      <c r="I19" s="45"/>
      <c r="J19" s="47"/>
      <c r="K19" s="47"/>
      <c r="L19" s="19"/>
      <c r="M19" s="19"/>
      <c r="N19" s="19"/>
      <c r="O19" s="19"/>
      <c r="P19" s="19"/>
      <c r="Q19" s="19"/>
      <c r="R19" s="19"/>
      <c r="S19" s="19"/>
      <c r="T19" s="19"/>
      <c r="U19" s="19"/>
    </row>
    <row r="20" spans="1:21" ht="28.5" customHeight="1" x14ac:dyDescent="0.45">
      <c r="A20" s="49" t="str">
        <f>Arbejdsark!$A$51</f>
        <v>Beplantning</v>
      </c>
      <c r="B20" s="50">
        <v>4</v>
      </c>
      <c r="C20" s="261"/>
      <c r="D20" s="261"/>
      <c r="E20" s="262"/>
      <c r="F20" s="262"/>
      <c r="G20" s="262"/>
      <c r="H20" s="262"/>
      <c r="I20" s="262" t="str">
        <f>IF('Sortering af spørgsmål'!$C$9=Projektforudsætninger!$C$24,"Udfyld spørgsmål","Ingen spørgsmål")</f>
        <v>Ingen spørgsmål</v>
      </c>
      <c r="J20" s="262"/>
      <c r="K20" s="262"/>
      <c r="L20" s="19"/>
      <c r="M20" s="19"/>
      <c r="N20" s="19"/>
      <c r="O20" s="19"/>
      <c r="P20" s="19"/>
      <c r="Q20" s="19"/>
      <c r="R20" s="19"/>
      <c r="S20" s="19"/>
      <c r="T20" s="19"/>
      <c r="U20" s="19"/>
    </row>
    <row r="21" spans="1:21" ht="127.5" customHeight="1" x14ac:dyDescent="0.45">
      <c r="A21" s="45" t="str">
        <f>Arbejdsark!$A$51</f>
        <v>Beplantning</v>
      </c>
      <c r="B21" s="43" t="str">
        <f>Arbejdsark!$B$51</f>
        <v>4.1</v>
      </c>
      <c r="C21" s="45" t="str">
        <f>IF('Sortering af spørgsmål'!C9=Projektforudsætninger!$C$24,Arbejdsark!C51,"")</f>
        <v/>
      </c>
      <c r="D21" s="46">
        <f>Arbejdsark!D23</f>
        <v>0</v>
      </c>
      <c r="E21" s="45">
        <f>Arbejdsark!I23</f>
        <v>0</v>
      </c>
      <c r="F21" s="45">
        <f>Arbejdsark!J23</f>
        <v>0</v>
      </c>
      <c r="G21" s="45" t="e">
        <f>Arbejdsark!#REF!</f>
        <v>#REF!</v>
      </c>
      <c r="H21" s="45" t="e">
        <f>Arbejdsark!#REF!</f>
        <v>#REF!</v>
      </c>
      <c r="I21" s="45" t="str">
        <f>IF('Sortering af spørgsmål'!$C$9=Projektforudsætninger!$C$24,Arbejdsark!K51,"")</f>
        <v/>
      </c>
      <c r="J21" s="41" t="s">
        <v>9</v>
      </c>
      <c r="K21" s="41"/>
      <c r="L21" s="19"/>
      <c r="M21" s="19"/>
      <c r="N21" s="19"/>
      <c r="O21" s="19"/>
      <c r="P21" s="19"/>
      <c r="Q21" s="19"/>
      <c r="R21" s="19"/>
      <c r="S21" s="19"/>
      <c r="T21" s="19"/>
      <c r="U21" s="19"/>
    </row>
    <row r="22" spans="1:21" ht="42.6" customHeight="1" x14ac:dyDescent="0.45">
      <c r="A22" s="45" t="str">
        <f>Arbejdsark!$A$51</f>
        <v>Beplantning</v>
      </c>
      <c r="B22" s="43" t="str">
        <f>Arbejdsark!$B$58</f>
        <v>4.2</v>
      </c>
      <c r="C22" s="45" t="str">
        <f>IF('Sortering af spørgsmål'!C16=Projektforudsætninger!$C$24,Arbejdsark!C58,"")</f>
        <v/>
      </c>
      <c r="D22" s="46"/>
      <c r="E22" s="45"/>
      <c r="F22" s="45"/>
      <c r="G22" s="45"/>
      <c r="H22" s="45"/>
      <c r="I22" s="45" t="str">
        <f>IF('Sortering af spørgsmål'!$C$9=Projektforudsætninger!$C$24,Arbejdsark!K58,"")</f>
        <v/>
      </c>
      <c r="J22" s="41" t="s">
        <v>9</v>
      </c>
      <c r="K22" s="41"/>
      <c r="L22" s="19"/>
      <c r="M22" s="19"/>
      <c r="N22" s="19"/>
      <c r="O22" s="19"/>
      <c r="P22" s="19"/>
      <c r="Q22" s="19"/>
      <c r="R22" s="19"/>
      <c r="S22" s="19"/>
      <c r="T22" s="19"/>
      <c r="U22" s="19"/>
    </row>
    <row r="23" spans="1:21" ht="113.65" customHeight="1" x14ac:dyDescent="0.45">
      <c r="A23" s="45" t="str">
        <f>Arbejdsark!$A$51</f>
        <v>Beplantning</v>
      </c>
      <c r="B23" s="43" t="str">
        <f>Arbejdsark!$B$63</f>
        <v>4.3</v>
      </c>
      <c r="C23" s="45" t="str">
        <f>IF('Sortering af spørgsmål'!C9=Projektforudsætninger!$C$24,Arbejdsark!C63,"")</f>
        <v/>
      </c>
      <c r="D23" s="46">
        <f>Arbejdsark!D24</f>
        <v>0</v>
      </c>
      <c r="E23" s="45">
        <f>Arbejdsark!I24</f>
        <v>0</v>
      </c>
      <c r="F23" s="45">
        <f>Arbejdsark!J24</f>
        <v>0</v>
      </c>
      <c r="G23" s="45" t="e">
        <f>Arbejdsark!#REF!</f>
        <v>#REF!</v>
      </c>
      <c r="H23" s="45" t="e">
        <f>Arbejdsark!#REF!</f>
        <v>#REF!</v>
      </c>
      <c r="I23" s="45" t="str">
        <f>IF('Sortering af spørgsmål'!C9=Projektforudsætninger!$C$24,Arbejdsark!K63,"")</f>
        <v/>
      </c>
      <c r="J23" s="41" t="s">
        <v>9</v>
      </c>
      <c r="K23" s="41"/>
      <c r="L23" s="19"/>
      <c r="M23" s="19"/>
      <c r="N23" s="19"/>
      <c r="O23" s="19"/>
      <c r="P23" s="19"/>
      <c r="Q23" s="19"/>
      <c r="R23" s="19"/>
      <c r="S23" s="19"/>
      <c r="T23" s="19"/>
      <c r="U23" s="19"/>
    </row>
    <row r="24" spans="1:21" ht="113.65" customHeight="1" x14ac:dyDescent="0.45">
      <c r="A24" s="45" t="str">
        <f>Arbejdsark!$A$51</f>
        <v>Beplantning</v>
      </c>
      <c r="B24" s="43" t="str">
        <f>Arbejdsark!$B$68</f>
        <v>4.4</v>
      </c>
      <c r="C24" s="45" t="str">
        <f>IF('Sortering af spørgsmål'!C9=Projektforudsætninger!$C$24,Arbejdsark!C68,"")</f>
        <v/>
      </c>
      <c r="D24" s="46" t="str">
        <f>Arbejdsark!D25</f>
        <v>ENV2.1
Vægtning: ENV2.1 pkt. 3</v>
      </c>
      <c r="E24" s="45" t="str">
        <f>Arbejdsark!I25</f>
        <v>x</v>
      </c>
      <c r="F24" s="45">
        <f>Arbejdsark!J25</f>
        <v>0</v>
      </c>
      <c r="G24" s="45" t="e">
        <f>Arbejdsark!#REF!</f>
        <v>#REF!</v>
      </c>
      <c r="H24" s="45" t="e">
        <f>Arbejdsark!#REF!</f>
        <v>#REF!</v>
      </c>
      <c r="I24" s="45" t="str">
        <f>IF('Sortering af spørgsmål'!$C$9=Projektforudsætninger!$C$24,Arbejdsark!K68,"")</f>
        <v/>
      </c>
      <c r="J24" s="41" t="s">
        <v>9</v>
      </c>
      <c r="K24" s="41"/>
      <c r="L24" s="19"/>
      <c r="M24" s="19"/>
      <c r="N24" s="19"/>
      <c r="O24" s="19"/>
      <c r="P24" s="19"/>
      <c r="Q24" s="19"/>
      <c r="R24" s="19"/>
      <c r="S24" s="19"/>
      <c r="T24" s="19"/>
      <c r="U24" s="19"/>
    </row>
    <row r="25" spans="1:21" x14ac:dyDescent="0.45">
      <c r="A25" s="45"/>
      <c r="B25" s="134"/>
      <c r="C25" s="45"/>
      <c r="D25" s="46"/>
      <c r="E25" s="45"/>
      <c r="F25" s="45"/>
      <c r="G25" s="45"/>
      <c r="H25" s="45"/>
      <c r="I25" s="45"/>
      <c r="J25" s="47"/>
      <c r="K25" s="47"/>
      <c r="L25" s="19"/>
      <c r="M25" s="19"/>
      <c r="N25" s="19"/>
      <c r="O25" s="19"/>
      <c r="P25" s="19"/>
      <c r="Q25" s="19"/>
      <c r="R25" s="19"/>
      <c r="S25" s="19"/>
      <c r="T25" s="19"/>
      <c r="U25" s="19"/>
    </row>
    <row r="26" spans="1:21" ht="28.5" customHeight="1" x14ac:dyDescent="0.45">
      <c r="A26" s="49" t="str">
        <f>Arbejdsark!$A$73</f>
        <v>Bebyggelsestæthed</v>
      </c>
      <c r="B26" s="50">
        <v>5</v>
      </c>
      <c r="C26" s="261"/>
      <c r="D26" s="261"/>
      <c r="E26" s="262"/>
      <c r="F26" s="262"/>
      <c r="G26" s="262"/>
      <c r="H26" s="262"/>
      <c r="I26" s="262" t="str">
        <f>IF('Sortering af spørgsmål'!$C$10=Projektforudsætninger!$C$24,"Udfyld spørgsmål","Ingen spørgsmål")</f>
        <v>Ingen spørgsmål</v>
      </c>
      <c r="J26" s="262"/>
      <c r="K26" s="262"/>
      <c r="L26" s="19"/>
      <c r="M26" s="19"/>
      <c r="N26" s="19"/>
      <c r="O26" s="19"/>
      <c r="P26" s="19"/>
      <c r="Q26" s="19"/>
      <c r="R26" s="19"/>
      <c r="S26" s="19"/>
      <c r="T26" s="19"/>
      <c r="U26" s="19"/>
    </row>
    <row r="27" spans="1:21" ht="198.4" customHeight="1" x14ac:dyDescent="0.45">
      <c r="A27" s="45" t="str">
        <f>Arbejdsark!$A$73</f>
        <v>Bebyggelsestæthed</v>
      </c>
      <c r="B27" s="43" t="str">
        <f>Arbejdsark!$B$73</f>
        <v>5.1</v>
      </c>
      <c r="C27" s="45" t="str">
        <f>IF(Projektforudsætninger!C37=Projektforudsætninger!H7,IF('Sortering af spørgsmål'!C10=Projektforudsætninger!$C$24,Arbejdsark!C73,""),"")</f>
        <v/>
      </c>
      <c r="D27" s="46">
        <f>Arbejdsark!D27</f>
        <v>0</v>
      </c>
      <c r="E27" s="45">
        <f>Arbejdsark!I27</f>
        <v>0</v>
      </c>
      <c r="F27" s="45">
        <f>Arbejdsark!J27</f>
        <v>0</v>
      </c>
      <c r="G27" s="45" t="e">
        <f>Arbejdsark!#REF!</f>
        <v>#REF!</v>
      </c>
      <c r="H27" s="45" t="e">
        <f>Arbejdsark!#REF!</f>
        <v>#REF!</v>
      </c>
      <c r="I27" s="45" t="str">
        <f>IF(Projektforudsætninger!C37=Projektforudsætninger!H7,IF('Sortering af spørgsmål'!$C$10=Projektforudsætninger!$C$24,Arbejdsark!K73,""),"")</f>
        <v/>
      </c>
      <c r="J27" s="41" t="s">
        <v>9</v>
      </c>
      <c r="K27" s="41"/>
      <c r="L27" s="19"/>
      <c r="M27" s="19"/>
      <c r="N27" s="19"/>
      <c r="O27" s="19"/>
      <c r="P27" s="19"/>
      <c r="Q27" s="19"/>
      <c r="R27" s="19"/>
      <c r="S27" s="19"/>
      <c r="T27" s="19"/>
      <c r="U27" s="19"/>
    </row>
    <row r="28" spans="1:21" x14ac:dyDescent="0.45">
      <c r="A28" s="45"/>
      <c r="B28" s="45"/>
      <c r="C28" s="45"/>
      <c r="D28" s="46"/>
      <c r="E28" s="45"/>
      <c r="F28" s="45"/>
      <c r="G28" s="45"/>
      <c r="H28" s="45"/>
      <c r="I28" s="45"/>
      <c r="J28" s="47"/>
      <c r="K28" s="47"/>
      <c r="L28" s="19"/>
      <c r="M28" s="19"/>
      <c r="N28" s="19"/>
      <c r="O28" s="19"/>
      <c r="P28" s="19"/>
      <c r="Q28" s="19"/>
      <c r="R28" s="19"/>
      <c r="S28" s="19"/>
      <c r="T28" s="19"/>
      <c r="U28" s="19"/>
    </row>
    <row r="29" spans="1:21" ht="28.5" customHeight="1" x14ac:dyDescent="0.45">
      <c r="A29" s="49" t="str">
        <f>Arbejdsark!$A$78</f>
        <v>Forurening</v>
      </c>
      <c r="B29" s="50">
        <v>6</v>
      </c>
      <c r="C29" s="261"/>
      <c r="D29" s="261"/>
      <c r="E29" s="262"/>
      <c r="F29" s="262"/>
      <c r="G29" s="262"/>
      <c r="H29" s="262"/>
      <c r="I29" s="262" t="str">
        <f>IF('Sortering af spørgsmål'!$C$11=Projektforudsætninger!$C$24,"Udfyld spørgsmål","Ingen spørgsmål")</f>
        <v>Ingen spørgsmål</v>
      </c>
      <c r="J29" s="262"/>
      <c r="K29" s="262"/>
      <c r="L29" s="19"/>
      <c r="M29" s="19"/>
      <c r="N29" s="19"/>
      <c r="O29" s="19"/>
      <c r="P29" s="19"/>
      <c r="Q29" s="19"/>
      <c r="R29" s="19"/>
      <c r="S29" s="19"/>
      <c r="T29" s="19"/>
      <c r="U29" s="19"/>
    </row>
    <row r="30" spans="1:21" ht="226.9" customHeight="1" x14ac:dyDescent="0.45">
      <c r="A30" s="45" t="str">
        <f>Arbejdsark!$A$78</f>
        <v>Forurening</v>
      </c>
      <c r="B30" s="43" t="str">
        <f>Arbejdsark!$B$78</f>
        <v>6.1</v>
      </c>
      <c r="C30" s="45" t="str">
        <f>IF('Sortering af spørgsmål'!C11=Projektforudsætninger!$C$24,Arbejdsark!C78,"")</f>
        <v/>
      </c>
      <c r="D30" s="46">
        <f>Arbejdsark!D29</f>
        <v>0</v>
      </c>
      <c r="E30" s="45">
        <f>Arbejdsark!I29</f>
        <v>0</v>
      </c>
      <c r="F30" s="45">
        <f>Arbejdsark!J29</f>
        <v>0</v>
      </c>
      <c r="G30" s="45" t="e">
        <f>Arbejdsark!#REF!</f>
        <v>#REF!</v>
      </c>
      <c r="H30" s="45" t="e">
        <f>Arbejdsark!#REF!</f>
        <v>#REF!</v>
      </c>
      <c r="I30" s="45" t="str">
        <f>IF('Sortering af spørgsmål'!$C$11=Projektforudsætninger!$C$24,Arbejdsark!K78,"")</f>
        <v/>
      </c>
      <c r="J30" s="41" t="s">
        <v>9</v>
      </c>
      <c r="K30" s="41"/>
      <c r="L30" s="19"/>
      <c r="M30" s="19"/>
      <c r="N30" s="19"/>
      <c r="O30" s="19"/>
      <c r="P30" s="19"/>
      <c r="Q30" s="19"/>
      <c r="R30" s="19"/>
      <c r="S30" s="19"/>
      <c r="T30" s="19"/>
      <c r="U30" s="19"/>
    </row>
    <row r="31" spans="1:21" ht="198.4" customHeight="1" x14ac:dyDescent="0.45">
      <c r="A31" s="45" t="str">
        <f>Arbejdsark!$A$78</f>
        <v>Forurening</v>
      </c>
      <c r="B31" s="43" t="str">
        <f>Arbejdsark!$B$84</f>
        <v>6.2</v>
      </c>
      <c r="C31" s="45" t="str">
        <f>IF('Sortering af spørgsmål'!C11=Projektforudsætninger!$C$24,Arbejdsark!C84,"")</f>
        <v/>
      </c>
      <c r="D31" s="46">
        <f>Arbejdsark!D31</f>
        <v>0</v>
      </c>
      <c r="E31" s="45">
        <f>Arbejdsark!I31</f>
        <v>0</v>
      </c>
      <c r="F31" s="45">
        <f>Arbejdsark!J31</f>
        <v>0</v>
      </c>
      <c r="G31" s="45" t="e">
        <f>Arbejdsark!#REF!</f>
        <v>#REF!</v>
      </c>
      <c r="H31" s="45" t="e">
        <f>Arbejdsark!#REF!</f>
        <v>#REF!</v>
      </c>
      <c r="I31" s="45" t="str">
        <f>IF('Sortering af spørgsmål'!$C$11=Projektforudsætninger!$C$24,Arbejdsark!K84,"")</f>
        <v/>
      </c>
      <c r="J31" s="41" t="s">
        <v>9</v>
      </c>
      <c r="K31" s="41"/>
      <c r="L31" s="19"/>
      <c r="M31" s="19"/>
      <c r="N31" s="19"/>
      <c r="O31" s="19"/>
      <c r="P31" s="19"/>
      <c r="Q31" s="19"/>
      <c r="R31" s="19"/>
      <c r="S31" s="19"/>
      <c r="T31" s="19"/>
      <c r="U31" s="19"/>
    </row>
    <row r="32" spans="1:21" x14ac:dyDescent="0.45">
      <c r="A32" s="45"/>
      <c r="B32" s="45"/>
      <c r="C32" s="45"/>
      <c r="D32" s="46"/>
      <c r="E32" s="45"/>
      <c r="F32" s="45"/>
      <c r="G32" s="45"/>
      <c r="H32" s="45"/>
      <c r="I32" s="45"/>
      <c r="J32" s="47"/>
      <c r="K32" s="47"/>
      <c r="L32" s="19"/>
      <c r="M32" s="19"/>
      <c r="N32" s="19"/>
      <c r="O32" s="19"/>
      <c r="P32" s="19"/>
      <c r="Q32" s="19"/>
      <c r="R32" s="19"/>
      <c r="S32" s="19"/>
      <c r="T32" s="19"/>
      <c r="U32" s="19"/>
    </row>
    <row r="33" spans="1:30" ht="28.5" customHeight="1" x14ac:dyDescent="0.45">
      <c r="A33" s="269" t="str">
        <f>Arbejdsark!$A$89</f>
        <v>ØKONOMISK  KVALITET</v>
      </c>
      <c r="B33" s="36"/>
      <c r="C33" s="66"/>
      <c r="D33" s="66"/>
      <c r="E33" s="66"/>
      <c r="F33" s="66"/>
      <c r="G33" s="66"/>
      <c r="H33" s="66"/>
      <c r="I33" s="36"/>
      <c r="J33" s="39"/>
      <c r="K33" s="39"/>
      <c r="L33" s="19"/>
      <c r="M33" s="19"/>
      <c r="N33" s="19"/>
      <c r="O33" s="19"/>
      <c r="P33" s="19"/>
      <c r="Q33" s="19"/>
      <c r="R33" s="19"/>
      <c r="S33" s="19"/>
      <c r="T33" s="19"/>
      <c r="U33" s="19"/>
    </row>
    <row r="34" spans="1:30" ht="28.5" customHeight="1" x14ac:dyDescent="0.45">
      <c r="A34" s="58" t="str">
        <f>$A$4</f>
        <v>Tema</v>
      </c>
      <c r="B34" s="58" t="s">
        <v>179</v>
      </c>
      <c r="C34" s="58" t="str">
        <f>$C$4</f>
        <v>Emne</v>
      </c>
      <c r="D34" s="58" t="str">
        <f>D4</f>
        <v>DGNB kriterium</v>
      </c>
      <c r="E34" s="58" t="str">
        <f>E4</f>
        <v>Byggeudvalg eller Hovedbestyrelse</v>
      </c>
      <c r="F34" s="58" t="str">
        <f>F4</f>
        <v>Projektleder</v>
      </c>
      <c r="G34" s="58" t="str">
        <f>G4</f>
        <v>#REFERENCE!</v>
      </c>
      <c r="H34" s="58" t="str">
        <f>H4</f>
        <v>Ikon</v>
      </c>
      <c r="I34" s="58" t="str">
        <f>$I$4</f>
        <v>Spørgsmål</v>
      </c>
      <c r="J34" s="59" t="str">
        <f>$J$4</f>
        <v>Svar</v>
      </c>
      <c r="K34" s="59" t="str">
        <f>$K$4</f>
        <v>Uddybende kommentarer</v>
      </c>
      <c r="L34" s="19"/>
      <c r="M34" s="19"/>
      <c r="N34" s="19"/>
      <c r="O34" s="19"/>
      <c r="P34" s="19"/>
      <c r="Q34" s="19"/>
      <c r="R34" s="19"/>
      <c r="S34" s="19"/>
      <c r="T34" s="19"/>
      <c r="U34" s="19"/>
      <c r="AD34" s="294" t="s">
        <v>24</v>
      </c>
    </row>
    <row r="35" spans="1:30" ht="28.5" customHeight="1" x14ac:dyDescent="0.45">
      <c r="A35" s="66" t="str">
        <f>Arbejdsark!$A$91</f>
        <v>Levetidsomkostninger</v>
      </c>
      <c r="B35" s="36">
        <v>1</v>
      </c>
      <c r="C35" s="66"/>
      <c r="D35" s="66"/>
      <c r="E35" s="66"/>
      <c r="F35" s="66"/>
      <c r="G35" s="66"/>
      <c r="H35" s="66"/>
      <c r="I35" s="36" t="str">
        <f>IF('Sortering af spørgsmål'!$C$12=Projektforudsætninger!$C$24,"Udfyld spørgsmål","Ingen spørgsmål")</f>
        <v>Ingen spørgsmål</v>
      </c>
      <c r="J35" s="39"/>
      <c r="K35" s="39"/>
      <c r="L35" s="19"/>
      <c r="M35" s="19"/>
      <c r="N35" s="19"/>
      <c r="O35" s="19"/>
      <c r="P35" s="19"/>
      <c r="Q35" s="19"/>
      <c r="R35" s="19"/>
      <c r="S35" s="19"/>
      <c r="T35" s="19"/>
      <c r="U35" s="19"/>
      <c r="AD35" s="294" t="s">
        <v>26</v>
      </c>
    </row>
    <row r="36" spans="1:30" ht="170.25" customHeight="1" x14ac:dyDescent="0.45">
      <c r="A36" s="45" t="str">
        <f>Arbejdsark!$A$91</f>
        <v>Levetidsomkostninger</v>
      </c>
      <c r="B36" s="43" t="str">
        <f>Arbejdsark!$B$91</f>
        <v>1.1</v>
      </c>
      <c r="C36" s="45" t="str">
        <f>IF('Sortering af spørgsmål'!C12=Projektforudsætninger!$C$24,Arbejdsark!C91,"")</f>
        <v/>
      </c>
      <c r="D36" s="46" t="str">
        <f>Arbejdsark!D35</f>
        <v>ENV2.2
Vægtning: 20% af ENV2.2</v>
      </c>
      <c r="E36" s="45" t="str">
        <f>Arbejdsark!I35</f>
        <v>x</v>
      </c>
      <c r="F36" s="45">
        <f>Arbejdsark!J35</f>
        <v>0</v>
      </c>
      <c r="G36" s="45" t="e">
        <f>Arbejdsark!#REF!</f>
        <v>#REF!</v>
      </c>
      <c r="H36" s="45" t="e">
        <f>Arbejdsark!#REF!</f>
        <v>#REF!</v>
      </c>
      <c r="I36" s="45" t="str">
        <f>IF('Sortering af spørgsmål'!C12=Projektforudsætninger!$C$24,Arbejdsark!K91,"")</f>
        <v/>
      </c>
      <c r="J36" s="41" t="s">
        <v>9</v>
      </c>
      <c r="K36" s="41"/>
      <c r="L36" s="19"/>
      <c r="M36" s="19"/>
      <c r="N36" s="19"/>
      <c r="O36" s="19"/>
      <c r="P36" s="19"/>
      <c r="Q36" s="19"/>
      <c r="R36" s="19"/>
      <c r="S36" s="19"/>
      <c r="T36" s="19"/>
      <c r="U36" s="19"/>
      <c r="AD36" s="294" t="s">
        <v>28</v>
      </c>
    </row>
    <row r="37" spans="1:30" ht="76.5" customHeight="1" x14ac:dyDescent="0.45">
      <c r="A37" s="45" t="str">
        <f>Arbejdsark!$A$91</f>
        <v>Levetidsomkostninger</v>
      </c>
      <c r="B37" s="43" t="str">
        <f>Arbejdsark!$B$109</f>
        <v>1.2</v>
      </c>
      <c r="C37" s="45" t="str">
        <f>IF('Sortering af spørgsmål'!C12=Projektforudsætninger!$C$24,Arbejdsark!C109,"")</f>
        <v/>
      </c>
      <c r="D37" s="46">
        <f>Arbejdsark!D37</f>
        <v>0</v>
      </c>
      <c r="E37" s="45">
        <f>Arbejdsark!I37</f>
        <v>0</v>
      </c>
      <c r="F37" s="45">
        <f>Arbejdsark!J37</f>
        <v>0</v>
      </c>
      <c r="G37" s="45" t="e">
        <f>Arbejdsark!#REF!</f>
        <v>#REF!</v>
      </c>
      <c r="H37" s="45" t="e">
        <f>Arbejdsark!#REF!</f>
        <v>#REF!</v>
      </c>
      <c r="I37" s="45" t="str">
        <f>IF('Sortering af spørgsmål'!C12=Projektforudsætninger!$C$24,Arbejdsark!K109,"")</f>
        <v/>
      </c>
      <c r="J37" s="41" t="s">
        <v>9</v>
      </c>
      <c r="K37" s="41"/>
      <c r="L37" s="19"/>
      <c r="M37" s="19"/>
      <c r="N37" s="19"/>
      <c r="O37" s="19"/>
      <c r="P37" s="19"/>
      <c r="Q37" s="19"/>
      <c r="R37" s="19"/>
      <c r="S37" s="19"/>
      <c r="T37" s="19"/>
      <c r="U37" s="19"/>
      <c r="AD37" s="294" t="s">
        <v>31</v>
      </c>
    </row>
    <row r="38" spans="1:30" ht="23.25" x14ac:dyDescent="0.45">
      <c r="A38" s="45"/>
      <c r="B38" s="45"/>
      <c r="C38" s="45"/>
      <c r="D38" s="46"/>
      <c r="E38" s="45"/>
      <c r="F38" s="45"/>
      <c r="G38" s="45"/>
      <c r="H38" s="45"/>
      <c r="I38" s="45"/>
      <c r="J38" s="47"/>
      <c r="K38" s="47"/>
      <c r="L38" s="19"/>
      <c r="M38" s="19"/>
      <c r="N38" s="19"/>
      <c r="O38" s="19"/>
      <c r="P38" s="19"/>
      <c r="Q38" s="19"/>
      <c r="R38" s="19"/>
      <c r="S38" s="19"/>
      <c r="T38" s="19"/>
      <c r="U38" s="19"/>
      <c r="AD38" s="294" t="s">
        <v>33</v>
      </c>
    </row>
    <row r="39" spans="1:30" ht="28.5" customHeight="1" x14ac:dyDescent="0.45">
      <c r="A39" s="66" t="str">
        <f>Arbejdsark!$A$114</f>
        <v>Fleksibilitet</v>
      </c>
      <c r="B39" s="36" t="str">
        <f>Arbejdsark!$B$114</f>
        <v>2.1</v>
      </c>
      <c r="C39" s="66"/>
      <c r="D39" s="66"/>
      <c r="E39" s="66"/>
      <c r="F39" s="66"/>
      <c r="G39" s="66"/>
      <c r="H39" s="66"/>
      <c r="I39" s="36" t="str">
        <f>IF('Sortering af spørgsmål'!$C$13=Projektforudsætninger!$C$24,"Udfyld spørgsmål","Ingen spørgsmål")</f>
        <v>Ingen spørgsmål</v>
      </c>
      <c r="J39" s="39"/>
      <c r="K39" s="39"/>
      <c r="L39" s="19"/>
      <c r="M39" s="19"/>
      <c r="N39" s="19"/>
      <c r="O39" s="19"/>
      <c r="P39" s="19"/>
      <c r="Q39" s="19"/>
      <c r="R39" s="19"/>
      <c r="S39" s="19"/>
      <c r="T39" s="19"/>
      <c r="U39" s="19"/>
      <c r="AD39" s="294" t="s">
        <v>35</v>
      </c>
    </row>
    <row r="40" spans="1:30" ht="170.25" customHeight="1" x14ac:dyDescent="0.45">
      <c r="A40" s="45" t="str">
        <f>Arbejdsark!$A$114</f>
        <v>Fleksibilitet</v>
      </c>
      <c r="B40" s="43" t="str">
        <f>Arbejdsark!$B$114</f>
        <v>2.1</v>
      </c>
      <c r="C40" s="45" t="str">
        <f>IF('Sortering af spørgsmål'!C13=Projektforudsætninger!$C$24,Arbejdsark!C114,"")</f>
        <v/>
      </c>
      <c r="D40" s="46">
        <f>Arbejdsark!D39</f>
        <v>0</v>
      </c>
      <c r="E40" s="45">
        <f>Arbejdsark!I39</f>
        <v>0</v>
      </c>
      <c r="F40" s="45">
        <f>Arbejdsark!J39</f>
        <v>0</v>
      </c>
      <c r="G40" s="45" t="e">
        <f>Arbejdsark!#REF!</f>
        <v>#REF!</v>
      </c>
      <c r="H40" s="45" t="e">
        <f>Arbejdsark!#REF!</f>
        <v>#REF!</v>
      </c>
      <c r="I40" s="45" t="str">
        <f>IF('Sortering af spørgsmål'!$C$13=Projektforudsætninger!$C$24,Arbejdsark!K114,"")</f>
        <v/>
      </c>
      <c r="J40" s="41" t="s">
        <v>9</v>
      </c>
      <c r="K40" s="41"/>
      <c r="L40" s="19"/>
      <c r="M40" s="19"/>
      <c r="N40" s="19"/>
      <c r="O40" s="19"/>
      <c r="P40" s="19"/>
      <c r="Q40" s="19"/>
      <c r="R40" s="19"/>
      <c r="S40" s="19"/>
      <c r="T40" s="19"/>
      <c r="U40" s="19"/>
      <c r="AD40" s="294" t="s">
        <v>37</v>
      </c>
    </row>
    <row r="41" spans="1:30" ht="198.4" customHeight="1" x14ac:dyDescent="0.45">
      <c r="A41" s="45" t="str">
        <f>Arbejdsark!$A$114</f>
        <v>Fleksibilitet</v>
      </c>
      <c r="B41" s="43" t="str">
        <f>Arbejdsark!$B$119</f>
        <v>2.2</v>
      </c>
      <c r="C41" s="45" t="str">
        <f>IF('Sortering af spørgsmål'!C13=Projektforudsætninger!$C$24,Arbejdsark!C119,"")</f>
        <v/>
      </c>
      <c r="D41" s="46" t="str">
        <f>Arbejdsark!D40</f>
        <v>ENV2.2
Vægtning: 20% af ENV2.2</v>
      </c>
      <c r="E41" s="45" t="str">
        <f>Arbejdsark!I40</f>
        <v>x</v>
      </c>
      <c r="F41" s="45">
        <f>Arbejdsark!J40</f>
        <v>0</v>
      </c>
      <c r="G41" s="45" t="e">
        <f>Arbejdsark!#REF!</f>
        <v>#REF!</v>
      </c>
      <c r="H41" s="45" t="e">
        <f>Arbejdsark!#REF!</f>
        <v>#REF!</v>
      </c>
      <c r="I41" s="45" t="str">
        <f>IF('Sortering af spørgsmål'!$C$13=Projektforudsætninger!$C$24,Arbejdsark!K119,"")</f>
        <v/>
      </c>
      <c r="J41" s="41" t="s">
        <v>9</v>
      </c>
      <c r="K41" s="41"/>
      <c r="L41" s="19"/>
      <c r="M41" s="19"/>
      <c r="N41" s="19"/>
      <c r="O41" s="19"/>
      <c r="P41" s="19"/>
      <c r="Q41" s="19"/>
      <c r="R41" s="19"/>
      <c r="S41" s="19"/>
      <c r="T41" s="19"/>
      <c r="U41" s="19"/>
      <c r="AD41" s="294" t="s">
        <v>42</v>
      </c>
    </row>
    <row r="42" spans="1:30" ht="198.4" customHeight="1" x14ac:dyDescent="0.45">
      <c r="A42" s="45" t="str">
        <f>Arbejdsark!$A$114</f>
        <v>Fleksibilitet</v>
      </c>
      <c r="B42" s="43" t="str">
        <f>Arbejdsark!$B$124</f>
        <v>2.3</v>
      </c>
      <c r="C42" s="45" t="str">
        <f>IF('Sortering af spørgsmål'!C13=Projektforudsætninger!$C$24,Arbejdsark!C124,"")</f>
        <v/>
      </c>
      <c r="D42" s="46">
        <f>Arbejdsark!D41</f>
        <v>0</v>
      </c>
      <c r="E42" s="45">
        <f>Arbejdsark!I41</f>
        <v>0</v>
      </c>
      <c r="F42" s="45">
        <f>Arbejdsark!J41</f>
        <v>0</v>
      </c>
      <c r="G42" s="45" t="e">
        <f>Arbejdsark!#REF!</f>
        <v>#REF!</v>
      </c>
      <c r="H42" s="45" t="e">
        <f>Arbejdsark!#REF!</f>
        <v>#REF!</v>
      </c>
      <c r="I42" s="45" t="str">
        <f>IF('Sortering af spørgsmål'!C13=Projektforudsætninger!$C$24,Arbejdsark!K124,"")</f>
        <v/>
      </c>
      <c r="J42" s="41" t="s">
        <v>9</v>
      </c>
      <c r="K42" s="41"/>
      <c r="L42" s="19"/>
      <c r="M42" s="19"/>
      <c r="N42" s="19"/>
      <c r="O42" s="19"/>
      <c r="P42" s="19"/>
      <c r="Q42" s="19"/>
      <c r="R42" s="19"/>
      <c r="S42" s="19"/>
      <c r="T42" s="19"/>
      <c r="U42" s="19"/>
      <c r="AD42" s="294" t="s">
        <v>45</v>
      </c>
    </row>
    <row r="43" spans="1:30" ht="255.4" customHeight="1" x14ac:dyDescent="0.45">
      <c r="A43" s="45" t="str">
        <f>Arbejdsark!$A$114</f>
        <v>Fleksibilitet</v>
      </c>
      <c r="B43" s="43" t="str">
        <f>Arbejdsark!$B$129</f>
        <v>2.4</v>
      </c>
      <c r="C43" s="45" t="str">
        <f>IF('Sortering af spørgsmål'!C13=Projektforudsætninger!$C$24,Arbejdsark!C129,"")</f>
        <v/>
      </c>
      <c r="D43" s="46">
        <f>Arbejdsark!D42</f>
        <v>0</v>
      </c>
      <c r="E43" s="45">
        <f>Arbejdsark!I42</f>
        <v>0</v>
      </c>
      <c r="F43" s="45">
        <f>Arbejdsark!J42</f>
        <v>0</v>
      </c>
      <c r="G43" s="45" t="e">
        <f>Arbejdsark!#REF!</f>
        <v>#REF!</v>
      </c>
      <c r="H43" s="45" t="e">
        <f>Arbejdsark!#REF!</f>
        <v>#REF!</v>
      </c>
      <c r="I43" s="45" t="str">
        <f>IF('Sortering af spørgsmål'!C13=Projektforudsætninger!$C$24,Arbejdsark!K129,"")</f>
        <v/>
      </c>
      <c r="J43" s="41" t="s">
        <v>9</v>
      </c>
      <c r="K43" s="41"/>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spørgsmål'!C13=Projektforudsætninger!$C$24,Arbejdsark!C134,"")</f>
        <v/>
      </c>
      <c r="D44" s="46">
        <f>Arbejdsark!D43</f>
        <v>0</v>
      </c>
      <c r="E44" s="45">
        <f>Arbejdsark!I43</f>
        <v>0</v>
      </c>
      <c r="F44" s="45">
        <f>Arbejdsark!J43</f>
        <v>0</v>
      </c>
      <c r="G44" s="45" t="e">
        <f>Arbejdsark!#REF!</f>
        <v>#REF!</v>
      </c>
      <c r="H44" s="45" t="e">
        <f>Arbejdsark!#REF!</f>
        <v>#REF!</v>
      </c>
      <c r="I44" s="45" t="str">
        <f>IF('Sortering af spørgsmål'!C13=Projektforudsætninger!$C$24,Arbejdsark!K134,"")</f>
        <v/>
      </c>
      <c r="J44" s="41" t="s">
        <v>9</v>
      </c>
      <c r="K44" s="41"/>
      <c r="L44" s="19"/>
      <c r="M44" s="19"/>
      <c r="N44" s="19"/>
      <c r="O44" s="19"/>
      <c r="P44" s="19"/>
      <c r="Q44" s="19"/>
      <c r="R44" s="19"/>
      <c r="S44" s="19"/>
      <c r="T44" s="19"/>
      <c r="U44" s="19"/>
    </row>
    <row r="45" spans="1:30" ht="141.75" customHeight="1" x14ac:dyDescent="0.45">
      <c r="A45" s="45" t="str">
        <f>Arbejdsark!$A$114</f>
        <v>Fleksibilitet</v>
      </c>
      <c r="B45" s="43" t="str">
        <f>Arbejdsark!$B$139</f>
        <v>2.6</v>
      </c>
      <c r="C45" s="45" t="str">
        <f>IF('Sortering af spørgsmål'!C13=Projektforudsætninger!$C$24,Arbejdsark!C139,"")</f>
        <v/>
      </c>
      <c r="D45" s="46">
        <f>Arbejdsark!D44</f>
        <v>0</v>
      </c>
      <c r="E45" s="45">
        <f>Arbejdsark!I44</f>
        <v>0</v>
      </c>
      <c r="F45" s="45">
        <f>Arbejdsark!J44</f>
        <v>0</v>
      </c>
      <c r="G45" s="45" t="e">
        <f>Arbejdsark!#REF!</f>
        <v>#REF!</v>
      </c>
      <c r="H45" s="45" t="e">
        <f>Arbejdsark!#REF!</f>
        <v>#REF!</v>
      </c>
      <c r="I45" s="45" t="str">
        <f>IF('Sortering af spørgsmål'!C13=Projektforudsætninger!$C$24,Arbejdsark!K139,"")</f>
        <v/>
      </c>
      <c r="J45" s="41" t="s">
        <v>9</v>
      </c>
      <c r="K45" s="41"/>
      <c r="L45" s="19"/>
      <c r="M45" s="19"/>
      <c r="N45" s="19"/>
      <c r="O45" s="19"/>
      <c r="P45" s="19"/>
      <c r="Q45" s="19"/>
      <c r="R45" s="19"/>
      <c r="S45" s="19"/>
      <c r="T45" s="19"/>
      <c r="U45" s="19"/>
    </row>
    <row r="46" spans="1:30" ht="198.4" customHeight="1" x14ac:dyDescent="0.45">
      <c r="A46" s="45" t="str">
        <f>Arbejdsark!$A$114</f>
        <v>Fleksibilitet</v>
      </c>
      <c r="B46" s="43" t="str">
        <f>Arbejdsark!$B$144</f>
        <v>2.7</v>
      </c>
      <c r="C46" s="45" t="str">
        <f>IF('Sortering af spørgsmål'!C13=Projektforudsætninger!$C$24,Arbejdsark!C144,"")</f>
        <v/>
      </c>
      <c r="D46" s="46"/>
      <c r="E46" s="45"/>
      <c r="F46" s="45"/>
      <c r="G46" s="45"/>
      <c r="H46" s="45"/>
      <c r="I46" s="45" t="str">
        <f>IF('Sortering af spørgsmål'!C13=Projektforudsætninger!$C$24,Arbejdsark!K144,"")</f>
        <v/>
      </c>
      <c r="J46" s="41" t="s">
        <v>9</v>
      </c>
      <c r="K46" s="41"/>
      <c r="L46" s="19"/>
      <c r="M46" s="19"/>
      <c r="N46" s="19"/>
      <c r="O46" s="19"/>
      <c r="P46" s="19"/>
      <c r="Q46" s="19"/>
      <c r="R46" s="19"/>
      <c r="S46" s="19"/>
      <c r="T46" s="19"/>
      <c r="U46" s="19"/>
    </row>
    <row r="47" spans="1:30" ht="170.25" customHeight="1" x14ac:dyDescent="0.45">
      <c r="A47" s="45" t="str">
        <f>Arbejdsark!$A$114</f>
        <v>Fleksibilitet</v>
      </c>
      <c r="B47" s="43" t="str">
        <f>Arbejdsark!$B$149</f>
        <v>2.8</v>
      </c>
      <c r="C47" s="45" t="str">
        <f>IF('Sortering af spørgsmål'!C13=Projektforudsætninger!$C$24,Arbejdsark!C149,"")</f>
        <v/>
      </c>
      <c r="D47" s="46" t="str">
        <f>Arbejdsark!D45</f>
        <v>ENV2.2
Vægtning: 60% af ENV2.2</v>
      </c>
      <c r="E47" s="45" t="str">
        <f>Arbejdsark!I45</f>
        <v>x</v>
      </c>
      <c r="F47" s="45">
        <f>Arbejdsark!J45</f>
        <v>0</v>
      </c>
      <c r="G47" s="45" t="e">
        <f>Arbejdsark!#REF!</f>
        <v>#REF!</v>
      </c>
      <c r="H47" s="45" t="e">
        <f>Arbejdsark!#REF!</f>
        <v>#REF!</v>
      </c>
      <c r="I47" s="45" t="str">
        <f>IF('Sortering af spørgsmål'!C13=Projektforudsætninger!$C$24,Arbejdsark!K149,"")</f>
        <v/>
      </c>
      <c r="J47" s="41" t="s">
        <v>9</v>
      </c>
      <c r="K47" s="41"/>
      <c r="L47" s="19"/>
      <c r="M47" s="19"/>
      <c r="N47" s="19"/>
      <c r="O47" s="19"/>
      <c r="P47" s="19"/>
      <c r="Q47" s="19"/>
      <c r="R47" s="19"/>
      <c r="S47" s="19"/>
      <c r="T47" s="19"/>
      <c r="U47" s="19"/>
    </row>
    <row r="48" spans="1:30" x14ac:dyDescent="0.45">
      <c r="A48" s="45"/>
      <c r="B48" s="45"/>
      <c r="C48" s="45"/>
      <c r="D48" s="46"/>
      <c r="E48" s="45"/>
      <c r="F48" s="45"/>
      <c r="G48" s="45"/>
      <c r="H48" s="45"/>
      <c r="I48" s="45"/>
      <c r="J48" s="47"/>
      <c r="K48" s="47"/>
      <c r="L48" s="19"/>
      <c r="M48" s="19"/>
      <c r="N48" s="19"/>
      <c r="O48" s="19"/>
      <c r="P48" s="19"/>
      <c r="Q48" s="19"/>
      <c r="R48" s="19"/>
      <c r="S48" s="19"/>
      <c r="T48" s="19"/>
      <c r="U48" s="19"/>
    </row>
    <row r="49" spans="1:21" ht="28.5" customHeight="1" x14ac:dyDescent="0.45">
      <c r="A49" s="66" t="str">
        <f>Arbejdsark!$A$154</f>
        <v>Robusthed</v>
      </c>
      <c r="B49" s="36">
        <v>3</v>
      </c>
      <c r="C49" s="66"/>
      <c r="D49" s="66"/>
      <c r="E49" s="66"/>
      <c r="F49" s="66"/>
      <c r="G49" s="66"/>
      <c r="H49" s="66"/>
      <c r="I49" s="36" t="str">
        <f>IF('Sortering af spørgsmål'!$C$14=Projektforudsætninger!$C$24,"Udfyld spørgsmål","Ingen spørgsmål")</f>
        <v>Ingen spørgsmål</v>
      </c>
      <c r="J49" s="39"/>
      <c r="K49" s="39"/>
      <c r="L49" s="19"/>
      <c r="M49" s="19"/>
      <c r="N49" s="19"/>
      <c r="O49" s="19"/>
      <c r="P49" s="19"/>
      <c r="Q49" s="19"/>
      <c r="R49" s="19"/>
      <c r="S49" s="19"/>
      <c r="T49" s="19"/>
      <c r="U49" s="19"/>
    </row>
    <row r="50" spans="1:21" ht="70.900000000000006" customHeight="1" x14ac:dyDescent="0.45">
      <c r="A50" s="45" t="str">
        <f>Arbejdsark!$A$154</f>
        <v>Robusthed</v>
      </c>
      <c r="B50" s="43" t="str">
        <f>Arbejdsark!$B$154</f>
        <v>3.1</v>
      </c>
      <c r="C50" s="45" t="str">
        <f>IF('Sortering af spørgsmål'!$C$14=Projektforudsætninger!$C$24,Arbejdsark!C154,"")</f>
        <v/>
      </c>
      <c r="D50" s="46">
        <f>Arbejdsark!D47</f>
        <v>0</v>
      </c>
      <c r="E50" s="45">
        <f>Arbejdsark!I47</f>
        <v>0</v>
      </c>
      <c r="F50" s="45">
        <f>Arbejdsark!J47</f>
        <v>0</v>
      </c>
      <c r="G50" s="45" t="e">
        <f>Arbejdsark!#REF!</f>
        <v>#REF!</v>
      </c>
      <c r="H50" s="45" t="e">
        <f>Arbejdsark!#REF!</f>
        <v>#REF!</v>
      </c>
      <c r="I50" s="45" t="str">
        <f>IF('Sortering af spørgsmål'!$C$14=Projektforudsætninger!$C$24,Arbejdsark!K154,"")</f>
        <v/>
      </c>
      <c r="J50" s="41" t="s">
        <v>9</v>
      </c>
      <c r="K50" s="41"/>
      <c r="L50" s="19"/>
      <c r="M50" s="19"/>
      <c r="N50" s="19"/>
      <c r="O50" s="19"/>
      <c r="P50" s="19"/>
      <c r="Q50" s="19"/>
      <c r="R50" s="19"/>
      <c r="S50" s="19"/>
      <c r="T50" s="19"/>
      <c r="U50" s="19"/>
    </row>
    <row r="51" spans="1:21" ht="70.900000000000006" customHeight="1" x14ac:dyDescent="0.45">
      <c r="A51" s="45" t="str">
        <f>Arbejdsark!$A$154</f>
        <v>Robusthed</v>
      </c>
      <c r="B51" s="43" t="str">
        <f>Arbejdsark!$B$159</f>
        <v>3.2</v>
      </c>
      <c r="C51" s="45" t="str">
        <f>IF('Sortering af spørgsmål'!$C$14=Projektforudsætninger!$C$24,Arbejdsark!C159,"")</f>
        <v/>
      </c>
      <c r="D51" s="46">
        <f>Arbejdsark!D50</f>
        <v>0</v>
      </c>
      <c r="E51" s="45">
        <f>Arbejdsark!I50</f>
        <v>0</v>
      </c>
      <c r="F51" s="45">
        <f>Arbejdsark!J50</f>
        <v>0</v>
      </c>
      <c r="G51" s="45" t="e">
        <f>Arbejdsark!#REF!</f>
        <v>#REF!</v>
      </c>
      <c r="H51" s="45" t="e">
        <f>Arbejdsark!#REF!</f>
        <v>#REF!</v>
      </c>
      <c r="I51" s="45" t="str">
        <f>IF('Sortering af spørgsmål'!$C$14=Projektforudsætninger!$C$24,Arbejdsark!K159,"")</f>
        <v/>
      </c>
      <c r="J51" s="41" t="s">
        <v>9</v>
      </c>
      <c r="K51" s="41"/>
      <c r="L51" s="19"/>
      <c r="M51" s="19"/>
      <c r="N51" s="19"/>
      <c r="O51" s="19"/>
      <c r="P51" s="19"/>
      <c r="Q51" s="19"/>
      <c r="R51" s="19"/>
      <c r="S51" s="19"/>
      <c r="T51" s="19"/>
      <c r="U51" s="19"/>
    </row>
    <row r="52" spans="1:21" x14ac:dyDescent="0.45">
      <c r="A52" s="45"/>
      <c r="B52" s="45"/>
      <c r="C52" s="45"/>
      <c r="D52" s="46"/>
      <c r="E52" s="45"/>
      <c r="F52" s="45"/>
      <c r="G52" s="45"/>
      <c r="H52" s="45"/>
      <c r="I52" s="45"/>
      <c r="J52" s="47"/>
      <c r="K52" s="47"/>
      <c r="L52" s="19"/>
      <c r="M52" s="19"/>
      <c r="N52" s="19"/>
      <c r="O52" s="19"/>
      <c r="P52" s="19"/>
      <c r="Q52" s="19"/>
      <c r="R52" s="19"/>
      <c r="S52" s="19"/>
      <c r="T52" s="19"/>
      <c r="U52" s="19"/>
    </row>
    <row r="53" spans="1:21" ht="28.5" customHeight="1" x14ac:dyDescent="0.45">
      <c r="A53" s="271" t="str">
        <f>Arbejdsark!$A$165</f>
        <v>SOCIAL KVALITET</v>
      </c>
      <c r="B53" s="56"/>
      <c r="C53" s="271"/>
      <c r="D53" s="271"/>
      <c r="E53" s="271"/>
      <c r="F53" s="271"/>
      <c r="G53" s="271"/>
      <c r="H53" s="271"/>
      <c r="I53" s="272"/>
      <c r="J53" s="273"/>
      <c r="K53" s="273"/>
      <c r="L53" s="19"/>
      <c r="M53" s="19"/>
      <c r="N53" s="19"/>
      <c r="O53" s="19"/>
      <c r="P53" s="19"/>
      <c r="Q53" s="19"/>
      <c r="R53" s="19"/>
      <c r="S53" s="19"/>
      <c r="T53" s="19"/>
      <c r="U53" s="19"/>
    </row>
    <row r="54" spans="1:21" ht="28.5" customHeight="1" x14ac:dyDescent="0.45">
      <c r="A54" s="58" t="str">
        <f>$A$4</f>
        <v>Tema</v>
      </c>
      <c r="B54" s="58" t="s">
        <v>179</v>
      </c>
      <c r="C54" s="58" t="str">
        <f t="shared" ref="C54:I54" si="0">C4</f>
        <v>Emne</v>
      </c>
      <c r="D54" s="58" t="str">
        <f t="shared" si="0"/>
        <v>DGNB kriterium</v>
      </c>
      <c r="E54" s="58" t="str">
        <f t="shared" si="0"/>
        <v>Byggeudvalg eller Hovedbestyrelse</v>
      </c>
      <c r="F54" s="58" t="str">
        <f t="shared" si="0"/>
        <v>Projektleder</v>
      </c>
      <c r="G54" s="58" t="str">
        <f t="shared" si="0"/>
        <v>#REFERENCE!</v>
      </c>
      <c r="H54" s="58" t="str">
        <f t="shared" si="0"/>
        <v>Ikon</v>
      </c>
      <c r="I54" s="58" t="str">
        <f t="shared" si="0"/>
        <v>Spørgsmål</v>
      </c>
      <c r="J54" s="59" t="str">
        <f>$J$4</f>
        <v>Svar</v>
      </c>
      <c r="K54" s="59" t="str">
        <f>K4</f>
        <v>Uddybende kommentarer</v>
      </c>
      <c r="L54" s="19"/>
      <c r="M54" s="19"/>
      <c r="N54" s="19"/>
      <c r="O54" s="19"/>
      <c r="P54" s="19"/>
      <c r="Q54" s="19"/>
      <c r="R54" s="19"/>
      <c r="S54" s="19"/>
      <c r="T54" s="19"/>
      <c r="U54" s="19"/>
    </row>
    <row r="55" spans="1:21" ht="28.5" customHeight="1" x14ac:dyDescent="0.45">
      <c r="A55" s="56" t="str">
        <f>Arbejdsark!$A$167</f>
        <v>Indeklima</v>
      </c>
      <c r="B55" s="56">
        <v>1</v>
      </c>
      <c r="C55" s="56"/>
      <c r="D55" s="56"/>
      <c r="E55" s="56"/>
      <c r="F55" s="56"/>
      <c r="G55" s="56"/>
      <c r="H55" s="56"/>
      <c r="I55" s="57" t="str">
        <f>IF('Sortering af spørgsmål'!$C$15=Projektforudsætninger!$C$24,"Udfyld spørgsmål","Ingen spørgsmål")</f>
        <v>Ingen spørgsmål</v>
      </c>
      <c r="J55" s="54"/>
      <c r="K55" s="54"/>
      <c r="L55" s="19"/>
      <c r="M55" s="19"/>
      <c r="N55" s="19"/>
      <c r="O55" s="19"/>
      <c r="P55" s="19"/>
      <c r="Q55" s="19"/>
      <c r="R55" s="19"/>
      <c r="S55" s="19"/>
      <c r="T55" s="19"/>
      <c r="U55" s="19"/>
    </row>
    <row r="56" spans="1:21" ht="170.25" customHeight="1" x14ac:dyDescent="0.45">
      <c r="A56" s="45" t="str">
        <f>Arbejdsark!$A$167</f>
        <v>Indeklima</v>
      </c>
      <c r="B56" s="43" t="str">
        <f>Arbejdsark!$B$167</f>
        <v>1.1</v>
      </c>
      <c r="C56" s="45" t="str">
        <f>IF('Sortering af spørgsmål'!$C$15=Projektforudsætninger!$C$24,Arbejdsark!C167,"")</f>
        <v/>
      </c>
      <c r="D56" s="46">
        <f>Arbejdsark!D57</f>
        <v>0</v>
      </c>
      <c r="E56" s="45">
        <f>Arbejdsark!I57</f>
        <v>0</v>
      </c>
      <c r="F56" s="45">
        <f>Arbejdsark!J57</f>
        <v>0</v>
      </c>
      <c r="G56" s="45" t="e">
        <f>Arbejdsark!#REF!</f>
        <v>#REF!</v>
      </c>
      <c r="H56" s="45" t="e">
        <f>Arbejdsark!#REF!</f>
        <v>#REF!</v>
      </c>
      <c r="I56" s="45" t="str">
        <f>IF('Sortering af spørgsmål'!$C$15=Projektforudsætninger!$C$24,Arbejdsark!K167,"")</f>
        <v/>
      </c>
      <c r="J56" s="41" t="s">
        <v>9</v>
      </c>
      <c r="K56" s="41"/>
      <c r="L56" s="19"/>
      <c r="M56" s="19"/>
      <c r="N56" s="19"/>
      <c r="O56" s="19"/>
      <c r="P56" s="19"/>
      <c r="Q56" s="19"/>
      <c r="R56" s="19"/>
      <c r="S56" s="19"/>
      <c r="T56" s="19"/>
      <c r="U56" s="19"/>
    </row>
    <row r="57" spans="1:21" ht="113.65" customHeight="1" x14ac:dyDescent="0.45">
      <c r="A57" s="45" t="str">
        <f>Arbejdsark!$A$167</f>
        <v>Indeklima</v>
      </c>
      <c r="B57" s="43" t="str">
        <f>Arbejdsark!$B$172</f>
        <v>1.2</v>
      </c>
      <c r="C57" s="45" t="str">
        <f>IF('Sortering af spørgsmål'!$C$15=Projektforudsætninger!$C$24,Arbejdsark!C172,"")</f>
        <v/>
      </c>
      <c r="D57" s="46" t="str">
        <f>Arbejdsark!D58</f>
        <v>Vægtning: SOC1.6 pkt. 2.4</v>
      </c>
      <c r="E57" s="45" t="str">
        <f>Arbejdsark!I58</f>
        <v>x</v>
      </c>
      <c r="F57" s="45">
        <f>Arbejdsark!J58</f>
        <v>0</v>
      </c>
      <c r="G57" s="45" t="e">
        <f>Arbejdsark!#REF!</f>
        <v>#REF!</v>
      </c>
      <c r="H57" s="45" t="e">
        <f>Arbejdsark!#REF!</f>
        <v>#REF!</v>
      </c>
      <c r="I57" s="45" t="str">
        <f>IF('Sortering af spørgsmål'!$C$15=Projektforudsætninger!$C$24,Arbejdsark!K172,"")</f>
        <v/>
      </c>
      <c r="J57" s="41" t="s">
        <v>9</v>
      </c>
      <c r="K57" s="41"/>
      <c r="L57" s="19"/>
      <c r="M57" s="19"/>
      <c r="N57" s="19"/>
      <c r="O57" s="19"/>
      <c r="P57" s="19"/>
      <c r="Q57" s="19"/>
      <c r="R57" s="19"/>
      <c r="S57" s="19"/>
      <c r="T57" s="19"/>
      <c r="U57" s="19"/>
    </row>
    <row r="58" spans="1:21" ht="113.65" customHeight="1" x14ac:dyDescent="0.45">
      <c r="A58" s="45" t="str">
        <f>Arbejdsark!$A$167</f>
        <v>Indeklima</v>
      </c>
      <c r="B58" s="43" t="str">
        <f>Arbejdsark!$B$177</f>
        <v>1.3</v>
      </c>
      <c r="C58" s="45" t="str">
        <f>IF('Sortering af spørgsmål'!$C$15=Projektforudsætninger!$C$24,Arbejdsark!C177,"")</f>
        <v/>
      </c>
      <c r="D58" s="46">
        <f>Arbejdsark!D59</f>
        <v>0</v>
      </c>
      <c r="E58" s="45">
        <f>Arbejdsark!I59</f>
        <v>0</v>
      </c>
      <c r="F58" s="45">
        <f>Arbejdsark!J59</f>
        <v>0</v>
      </c>
      <c r="G58" s="45" t="e">
        <f>Arbejdsark!#REF!</f>
        <v>#REF!</v>
      </c>
      <c r="H58" s="45" t="e">
        <f>Arbejdsark!#REF!</f>
        <v>#REF!</v>
      </c>
      <c r="I58" s="45" t="str">
        <f>IF('Sortering af spørgsmål'!$C$15=Projektforudsætninger!$C$24,Arbejdsark!K177,"")</f>
        <v/>
      </c>
      <c r="J58" s="41" t="s">
        <v>9</v>
      </c>
      <c r="K58" s="41"/>
      <c r="L58" s="19"/>
      <c r="M58" s="19"/>
      <c r="N58" s="19"/>
      <c r="O58" s="19"/>
      <c r="P58" s="19"/>
      <c r="Q58" s="19"/>
      <c r="R58" s="19"/>
      <c r="S58" s="19"/>
      <c r="T58" s="19"/>
      <c r="U58" s="19"/>
    </row>
    <row r="59" spans="1:21" ht="170.25" customHeight="1" x14ac:dyDescent="0.45">
      <c r="A59" s="45" t="str">
        <f>Arbejdsark!$A$167</f>
        <v>Indeklima</v>
      </c>
      <c r="B59" s="43" t="str">
        <f>Arbejdsark!$B$182</f>
        <v>1.4</v>
      </c>
      <c r="C59" s="45" t="str">
        <f>IF('Sortering af spørgsmål'!$C$15=Projektforudsætninger!$C$24,Arbejdsark!C182,"")</f>
        <v/>
      </c>
      <c r="D59" s="46" t="str">
        <f>Arbejdsark!D58</f>
        <v>Vægtning: SOC1.6 pkt. 2.4</v>
      </c>
      <c r="E59" s="45" t="str">
        <f>Arbejdsark!I58</f>
        <v>x</v>
      </c>
      <c r="F59" s="45">
        <f>Arbejdsark!J58</f>
        <v>0</v>
      </c>
      <c r="G59" s="45" t="e">
        <f>Arbejdsark!#REF!</f>
        <v>#REF!</v>
      </c>
      <c r="H59" s="45" t="e">
        <f>Arbejdsark!#REF!</f>
        <v>#REF!</v>
      </c>
      <c r="I59" s="45" t="str">
        <f>IF('Sortering af spørgsmål'!$C$15=Projektforudsætninger!$C$24,Arbejdsark!K182,"")</f>
        <v/>
      </c>
      <c r="J59" s="41" t="s">
        <v>9</v>
      </c>
      <c r="K59" s="41"/>
      <c r="L59" s="19"/>
      <c r="M59" s="19"/>
      <c r="N59" s="19"/>
      <c r="O59" s="19"/>
      <c r="P59" s="19"/>
      <c r="Q59" s="19"/>
      <c r="R59" s="19"/>
      <c r="S59" s="19"/>
      <c r="T59" s="19"/>
      <c r="U59" s="19"/>
    </row>
    <row r="60" spans="1:21" ht="183" customHeight="1" x14ac:dyDescent="0.45">
      <c r="A60" s="45" t="str">
        <f>Arbejdsark!$A$167</f>
        <v>Indeklima</v>
      </c>
      <c r="B60" s="43" t="str">
        <f>Arbejdsark!$B$187</f>
        <v>1.5</v>
      </c>
      <c r="C60" s="45" t="str">
        <f>IF('Sortering af spørgsmål'!$C$15=Projektforudsætninger!$C$24,Arbejdsark!C187,"")</f>
        <v/>
      </c>
      <c r="D60" s="46">
        <f>Arbejdsark!D59</f>
        <v>0</v>
      </c>
      <c r="E60" s="45">
        <f>Arbejdsark!I59</f>
        <v>0</v>
      </c>
      <c r="F60" s="45">
        <f>Arbejdsark!J59</f>
        <v>0</v>
      </c>
      <c r="G60" s="45" t="e">
        <f>Arbejdsark!#REF!</f>
        <v>#REF!</v>
      </c>
      <c r="H60" s="45" t="e">
        <f>Arbejdsark!#REF!</f>
        <v>#REF!</v>
      </c>
      <c r="I60" s="45" t="str">
        <f>IF('Sortering af spørgsmål'!$C$15=Projektforudsætninger!$C$24,Arbejdsark!K187,"")</f>
        <v/>
      </c>
      <c r="J60" s="41" t="s">
        <v>9</v>
      </c>
      <c r="K60" s="41"/>
      <c r="L60" s="19"/>
      <c r="M60" s="19"/>
      <c r="N60" s="19"/>
      <c r="O60" s="19"/>
      <c r="P60" s="19"/>
      <c r="Q60" s="19"/>
      <c r="R60" s="19"/>
      <c r="S60" s="19"/>
      <c r="T60" s="19"/>
      <c r="U60" s="19"/>
    </row>
    <row r="61" spans="1:21" ht="85.15" customHeight="1" x14ac:dyDescent="0.45">
      <c r="A61" s="45" t="str">
        <f>Arbejdsark!$A$167</f>
        <v>Indeklima</v>
      </c>
      <c r="B61" s="43" t="str">
        <f>Arbejdsark!$B$192</f>
        <v>1.6</v>
      </c>
      <c r="C61" s="45" t="str">
        <f>IF('Sortering af spørgsmål'!$C$15=Projektforudsætninger!$C$24,Arbejdsark!C192,"")</f>
        <v/>
      </c>
      <c r="D61" s="46"/>
      <c r="E61" s="45"/>
      <c r="F61" s="45"/>
      <c r="G61" s="45"/>
      <c r="H61" s="45"/>
      <c r="I61" s="45" t="str">
        <f>IF('Sortering af spørgsmål'!$C$15=Projektforudsætninger!$C$24,Arbejdsark!K192,"")</f>
        <v/>
      </c>
      <c r="J61" s="41" t="s">
        <v>9</v>
      </c>
      <c r="K61" s="41"/>
      <c r="L61" s="19"/>
      <c r="M61" s="19"/>
      <c r="N61" s="19"/>
      <c r="O61" s="19"/>
      <c r="P61" s="19"/>
      <c r="Q61" s="19"/>
      <c r="R61" s="19"/>
      <c r="S61" s="19"/>
      <c r="T61" s="19"/>
      <c r="U61" s="19"/>
    </row>
    <row r="62" spans="1:21" ht="141.75" customHeight="1" x14ac:dyDescent="0.45">
      <c r="A62" s="45" t="str">
        <f>Arbejdsark!$A$167</f>
        <v>Indeklima</v>
      </c>
      <c r="B62" s="43" t="str">
        <f>Arbejdsark!$B$197</f>
        <v>1.7</v>
      </c>
      <c r="C62" s="45" t="str">
        <f>IF('Sortering af spørgsmål'!$C$15=Projektforudsætninger!$C$24,Arbejdsark!C197,"")</f>
        <v/>
      </c>
      <c r="D62" s="46">
        <f>Arbejdsark!D60</f>
        <v>0</v>
      </c>
      <c r="E62" s="45">
        <f>Arbejdsark!I60</f>
        <v>0</v>
      </c>
      <c r="F62" s="45">
        <f>Arbejdsark!J60</f>
        <v>0</v>
      </c>
      <c r="G62" s="45" t="e">
        <f>Arbejdsark!#REF!</f>
        <v>#REF!</v>
      </c>
      <c r="H62" s="45" t="e">
        <f>Arbejdsark!#REF!</f>
        <v>#REF!</v>
      </c>
      <c r="I62" s="45" t="str">
        <f>IF('Sortering af spørgsmål'!$C$15=Projektforudsætninger!$C$24,Arbejdsark!K197,"")</f>
        <v/>
      </c>
      <c r="J62" s="41" t="s">
        <v>9</v>
      </c>
      <c r="K62" s="41"/>
      <c r="L62" s="19"/>
      <c r="M62" s="19"/>
      <c r="N62" s="19"/>
      <c r="O62" s="19"/>
      <c r="P62" s="19"/>
      <c r="Q62" s="19"/>
      <c r="R62" s="19"/>
      <c r="S62" s="19"/>
      <c r="T62" s="19"/>
      <c r="U62" s="19"/>
    </row>
    <row r="63" spans="1:21" ht="141.75" customHeight="1" x14ac:dyDescent="0.45">
      <c r="A63" s="45" t="str">
        <f>Arbejdsark!$A$167</f>
        <v>Indeklima</v>
      </c>
      <c r="B63" s="43" t="str">
        <f>Arbejdsark!$B$202</f>
        <v>1.8</v>
      </c>
      <c r="C63" s="45" t="str">
        <f>IF('Sortering af spørgsmål'!$C$15=Projektforudsætninger!$C$24,Arbejdsark!C202,"")</f>
        <v/>
      </c>
      <c r="D63" s="46">
        <f>Arbejdsark!D61</f>
        <v>0</v>
      </c>
      <c r="E63" s="45">
        <f>Arbejdsark!I61</f>
        <v>0</v>
      </c>
      <c r="F63" s="45">
        <f>Arbejdsark!J61</f>
        <v>0</v>
      </c>
      <c r="G63" s="45" t="e">
        <f>Arbejdsark!#REF!</f>
        <v>#REF!</v>
      </c>
      <c r="H63" s="45" t="e">
        <f>Arbejdsark!#REF!</f>
        <v>#REF!</v>
      </c>
      <c r="I63" s="45" t="str">
        <f>IF('Sortering af spørgsmål'!$C$15=Projektforudsætninger!$C$24,Arbejdsark!K202,"")</f>
        <v/>
      </c>
      <c r="J63" s="41" t="s">
        <v>9</v>
      </c>
      <c r="K63" s="41"/>
      <c r="L63" s="19"/>
      <c r="M63" s="19"/>
      <c r="N63" s="19"/>
      <c r="O63" s="19"/>
      <c r="P63" s="19"/>
      <c r="Q63" s="19"/>
      <c r="R63" s="19"/>
      <c r="S63" s="19"/>
      <c r="T63" s="19"/>
      <c r="U63" s="19"/>
    </row>
    <row r="64" spans="1:21" ht="85.15" customHeight="1" x14ac:dyDescent="0.45">
      <c r="A64" s="45" t="str">
        <f>Arbejdsark!$A$167</f>
        <v>Indeklima</v>
      </c>
      <c r="B64" s="43" t="str">
        <f>Arbejdsark!$B$207</f>
        <v>1.9</v>
      </c>
      <c r="C64" s="45" t="str">
        <f>IF('Sortering af spørgsmål'!$C$15=Projektforudsætninger!$C$24,Arbejdsark!C207,"")</f>
        <v/>
      </c>
      <c r="D64" s="46">
        <f>Arbejdsark!D62</f>
        <v>0</v>
      </c>
      <c r="E64" s="45">
        <f>Arbejdsark!I62</f>
        <v>0</v>
      </c>
      <c r="F64" s="45">
        <f>Arbejdsark!J62</f>
        <v>0</v>
      </c>
      <c r="G64" s="45" t="e">
        <f>Arbejdsark!#REF!</f>
        <v>#REF!</v>
      </c>
      <c r="H64" s="45" t="e">
        <f>Arbejdsark!#REF!</f>
        <v>#REF!</v>
      </c>
      <c r="I64" s="45" t="str">
        <f>IF('Sortering af spørgsmål'!$C$15=Projektforudsætninger!$C$24,Arbejdsark!K207,"")</f>
        <v/>
      </c>
      <c r="J64" s="41" t="s">
        <v>9</v>
      </c>
      <c r="K64" s="41"/>
      <c r="L64" s="19"/>
      <c r="M64" s="19"/>
      <c r="N64" s="19"/>
      <c r="O64" s="19"/>
      <c r="P64" s="19"/>
      <c r="Q64" s="19"/>
      <c r="R64" s="19"/>
      <c r="S64" s="19"/>
      <c r="T64" s="19"/>
      <c r="U64" s="19"/>
    </row>
    <row r="65" spans="1:21" ht="127.5" customHeight="1" x14ac:dyDescent="0.45">
      <c r="A65" s="45" t="str">
        <f>Arbejdsark!$A$167</f>
        <v>Indeklima</v>
      </c>
      <c r="B65" s="43" t="str">
        <f>Arbejdsark!$B$212</f>
        <v>1.10</v>
      </c>
      <c r="C65" s="45" t="str">
        <f>IF('Sortering af spørgsmål'!$C$15=Projektforudsætninger!$C$24,Arbejdsark!C212,"")</f>
        <v/>
      </c>
      <c r="D65" s="46" t="str">
        <f>Arbejdsark!D63</f>
        <v>SOC1.6
Vægtning: 20% af SOC1.6 pkt 2.8</v>
      </c>
      <c r="E65" s="45" t="str">
        <f>Arbejdsark!I63</f>
        <v>x</v>
      </c>
      <c r="F65" s="45">
        <f>Arbejdsark!J63</f>
        <v>0</v>
      </c>
      <c r="G65" s="45" t="e">
        <f>Arbejdsark!#REF!</f>
        <v>#REF!</v>
      </c>
      <c r="H65" s="45" t="e">
        <f>Arbejdsark!#REF!</f>
        <v>#REF!</v>
      </c>
      <c r="I65" s="45" t="str">
        <f>IF('Sortering af spørgsmål'!$C$15=Projektforudsætninger!$C$24,Arbejdsark!K212,"")</f>
        <v/>
      </c>
      <c r="J65" s="41" t="s">
        <v>9</v>
      </c>
      <c r="K65" s="41"/>
      <c r="L65" s="19"/>
      <c r="M65" s="19"/>
      <c r="N65" s="19"/>
      <c r="O65" s="19"/>
      <c r="P65" s="19"/>
      <c r="Q65" s="19"/>
      <c r="R65" s="19"/>
      <c r="S65" s="19"/>
      <c r="T65" s="19"/>
      <c r="U65" s="19"/>
    </row>
    <row r="66" spans="1:21" x14ac:dyDescent="0.45">
      <c r="A66" s="45"/>
      <c r="B66" s="45"/>
      <c r="C66" s="45"/>
      <c r="D66" s="46"/>
      <c r="E66" s="45"/>
      <c r="F66" s="45"/>
      <c r="G66" s="45"/>
      <c r="H66" s="45"/>
      <c r="I66" s="45"/>
      <c r="J66" s="47"/>
      <c r="K66" s="47"/>
      <c r="L66" s="19"/>
      <c r="M66" s="19"/>
      <c r="N66" s="19"/>
      <c r="O66" s="19"/>
      <c r="P66" s="19"/>
      <c r="Q66" s="19"/>
      <c r="R66" s="19"/>
      <c r="S66" s="19"/>
      <c r="T66" s="19"/>
      <c r="U66" s="19"/>
    </row>
    <row r="67" spans="1:21" ht="28.5" customHeight="1" x14ac:dyDescent="0.45">
      <c r="A67" s="56" t="str">
        <f>Arbejdsark!$A$217</f>
        <v>Brugerstyring</v>
      </c>
      <c r="B67" s="57">
        <v>2</v>
      </c>
      <c r="C67" s="56"/>
      <c r="D67" s="56"/>
      <c r="E67" s="56"/>
      <c r="F67" s="56"/>
      <c r="G67" s="56"/>
      <c r="H67" s="56"/>
      <c r="I67" s="57" t="str">
        <f>IF('Sortering af spørgsmål'!$C$16=Projektforudsætninger!$C$24,"Udfyld spørgsmål","Ingen spørgsmål")</f>
        <v>Ingen spørgsmål</v>
      </c>
      <c r="J67" s="54"/>
      <c r="K67" s="54"/>
      <c r="L67" s="19"/>
      <c r="M67" s="19"/>
      <c r="N67" s="19"/>
      <c r="O67" s="19"/>
      <c r="P67" s="19"/>
      <c r="Q67" s="19"/>
      <c r="R67" s="19"/>
      <c r="S67" s="19"/>
      <c r="T67" s="19"/>
      <c r="U67" s="19"/>
    </row>
    <row r="68" spans="1:21" ht="85.15" customHeight="1" x14ac:dyDescent="0.45">
      <c r="A68" s="45" t="str">
        <f>Arbejdsark!$A$217</f>
        <v>Brugerstyring</v>
      </c>
      <c r="B68" s="43" t="str">
        <f>Arbejdsark!$B$217</f>
        <v>2.1</v>
      </c>
      <c r="C68" s="45" t="str">
        <f>IF('Sortering af spørgsmål'!$C$16=Projektforudsætninger!$C$24,Arbejdsark!C217,"")</f>
        <v/>
      </c>
      <c r="D68" s="46">
        <f>Arbejdsark!D62</f>
        <v>0</v>
      </c>
      <c r="E68" s="45">
        <f>Arbejdsark!I62</f>
        <v>0</v>
      </c>
      <c r="F68" s="45">
        <f>Arbejdsark!J62</f>
        <v>0</v>
      </c>
      <c r="G68" s="45" t="e">
        <f>Arbejdsark!#REF!</f>
        <v>#REF!</v>
      </c>
      <c r="H68" s="45" t="e">
        <f>Arbejdsark!#REF!</f>
        <v>#REF!</v>
      </c>
      <c r="I68" s="45" t="str">
        <f>IF('Sortering af spørgsmål'!$C$16=Projektforudsætninger!$C$24,Arbejdsark!K217,"")</f>
        <v/>
      </c>
      <c r="J68" s="41" t="s">
        <v>9</v>
      </c>
      <c r="K68" s="41"/>
      <c r="L68" s="19"/>
      <c r="M68" s="19"/>
      <c r="N68" s="19"/>
      <c r="O68" s="19"/>
      <c r="P68" s="19"/>
      <c r="Q68" s="19"/>
      <c r="R68" s="19"/>
      <c r="S68" s="19"/>
      <c r="T68" s="19"/>
      <c r="U68" s="19"/>
    </row>
    <row r="69" spans="1:21" ht="85.15" customHeight="1" x14ac:dyDescent="0.45">
      <c r="A69" s="45" t="str">
        <f>Arbejdsark!$A$217</f>
        <v>Brugerstyring</v>
      </c>
      <c r="B69" s="43" t="str">
        <f>Arbejdsark!$B$222</f>
        <v>2.2</v>
      </c>
      <c r="C69" s="45" t="str">
        <f>IF('Sortering af spørgsmål'!$C$16=Projektforudsætninger!$C$24,Arbejdsark!C222,"")</f>
        <v/>
      </c>
      <c r="D69" s="46" t="str">
        <f>Arbejdsark!D63</f>
        <v>SOC1.6
Vægtning: 20% af SOC1.6 pkt 2.8</v>
      </c>
      <c r="E69" s="45" t="str">
        <f>Arbejdsark!I63</f>
        <v>x</v>
      </c>
      <c r="F69" s="45">
        <f>Arbejdsark!J63</f>
        <v>0</v>
      </c>
      <c r="G69" s="45" t="e">
        <f>Arbejdsark!#REF!</f>
        <v>#REF!</v>
      </c>
      <c r="H69" s="45" t="e">
        <f>Arbejdsark!#REF!</f>
        <v>#REF!</v>
      </c>
      <c r="I69" s="45" t="str">
        <f>IF('Sortering af spørgsmål'!$C$16=Projektforudsætninger!$C$24,Arbejdsark!K222,"")</f>
        <v/>
      </c>
      <c r="J69" s="41" t="s">
        <v>9</v>
      </c>
      <c r="K69" s="41"/>
      <c r="L69" s="19"/>
      <c r="M69" s="19"/>
      <c r="N69" s="19"/>
      <c r="O69" s="19"/>
      <c r="P69" s="19"/>
      <c r="Q69" s="19"/>
      <c r="R69" s="19"/>
      <c r="S69" s="19"/>
      <c r="T69" s="19"/>
      <c r="U69" s="19"/>
    </row>
    <row r="70" spans="1:21" ht="85.15" customHeight="1" x14ac:dyDescent="0.45">
      <c r="A70" s="45" t="str">
        <f>Arbejdsark!$A$217</f>
        <v>Brugerstyring</v>
      </c>
      <c r="B70" s="43" t="str">
        <f>Arbejdsark!$B$227</f>
        <v>2.3</v>
      </c>
      <c r="C70" s="45" t="str">
        <f>IF('Sortering af spørgsmål'!$C$16=Projektforudsætninger!$C$24,Arbejdsark!C227,"")</f>
        <v/>
      </c>
      <c r="D70" s="46">
        <f>Arbejdsark!D64</f>
        <v>0</v>
      </c>
      <c r="E70" s="45">
        <f>Arbejdsark!I64</f>
        <v>0</v>
      </c>
      <c r="F70" s="45">
        <f>Arbejdsark!J64</f>
        <v>0</v>
      </c>
      <c r="G70" s="45" t="e">
        <f>Arbejdsark!#REF!</f>
        <v>#REF!</v>
      </c>
      <c r="H70" s="45" t="e">
        <f>Arbejdsark!#REF!</f>
        <v>#REF!</v>
      </c>
      <c r="I70" s="45" t="str">
        <f>IF('Sortering af spørgsmål'!$C$16=Projektforudsætninger!$C$24,Arbejdsark!K227,"")</f>
        <v/>
      </c>
      <c r="J70" s="41" t="s">
        <v>9</v>
      </c>
      <c r="K70" s="41"/>
      <c r="L70" s="19"/>
      <c r="M70" s="19"/>
      <c r="N70" s="19"/>
      <c r="O70" s="19"/>
      <c r="P70" s="19"/>
      <c r="Q70" s="19"/>
      <c r="R70" s="19"/>
      <c r="S70" s="19"/>
      <c r="T70" s="19"/>
      <c r="U70" s="19"/>
    </row>
    <row r="71" spans="1:21" x14ac:dyDescent="0.45">
      <c r="A71" s="45"/>
      <c r="B71" s="45"/>
      <c r="C71" s="45"/>
      <c r="D71" s="46"/>
      <c r="E71" s="45"/>
      <c r="F71" s="45"/>
      <c r="G71" s="45"/>
      <c r="H71" s="45"/>
      <c r="I71" s="45"/>
      <c r="J71" s="47"/>
      <c r="K71" s="47"/>
      <c r="L71" s="19"/>
      <c r="M71" s="19"/>
      <c r="N71" s="19"/>
      <c r="O71" s="19"/>
      <c r="P71" s="19"/>
      <c r="Q71" s="19"/>
      <c r="R71" s="19"/>
      <c r="S71" s="19"/>
      <c r="T71" s="19"/>
      <c r="U71" s="19"/>
    </row>
    <row r="72" spans="1:21" ht="28.5" customHeight="1" x14ac:dyDescent="0.45">
      <c r="A72" s="56" t="str">
        <f>Arbejdsark!$A$234</f>
        <v>Tilgængelighed</v>
      </c>
      <c r="B72" s="57">
        <v>3</v>
      </c>
      <c r="C72" s="56"/>
      <c r="D72" s="56"/>
      <c r="E72" s="56"/>
      <c r="F72" s="56"/>
      <c r="G72" s="56"/>
      <c r="H72" s="56"/>
      <c r="I72" s="57" t="str">
        <f>IF('Sortering af spørgsmål'!$C$17=Projektforudsætninger!$C$24,"Udfyld spørgsmål","Ingen spørgsmål")</f>
        <v>Ingen spørgsmål</v>
      </c>
      <c r="J72" s="54"/>
      <c r="K72" s="54"/>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spørgsmål'!$C$17=Projektforudsætninger!$C$24,Arbejdsark!C234,"")</f>
        <v/>
      </c>
      <c r="D73" s="46">
        <f>Arbejdsark!D67</f>
        <v>0</v>
      </c>
      <c r="E73" s="45">
        <f>Arbejdsark!I67</f>
        <v>0</v>
      </c>
      <c r="F73" s="45">
        <f>Arbejdsark!J67</f>
        <v>0</v>
      </c>
      <c r="G73" s="45" t="e">
        <f>Arbejdsark!#REF!</f>
        <v>#REF!</v>
      </c>
      <c r="H73" s="45" t="e">
        <f>Arbejdsark!#REF!</f>
        <v>#REF!</v>
      </c>
      <c r="I73" s="45" t="str">
        <f>IF('Sortering af spørgsmål'!$C$17=Projektforudsætninger!$C$24,Arbejdsark!K234,"")</f>
        <v/>
      </c>
      <c r="J73" s="41" t="s">
        <v>9</v>
      </c>
      <c r="K73" s="41"/>
      <c r="L73" s="19"/>
      <c r="M73" s="19"/>
      <c r="N73" s="19"/>
      <c r="O73" s="19"/>
      <c r="P73" s="19"/>
      <c r="Q73" s="19"/>
      <c r="R73" s="19"/>
      <c r="S73" s="19"/>
      <c r="T73" s="19"/>
      <c r="U73" s="19"/>
    </row>
    <row r="74" spans="1:21" ht="170.25" customHeight="1" x14ac:dyDescent="0.45">
      <c r="A74" s="45" t="str">
        <f>Arbejdsark!$A$234</f>
        <v>Tilgængelighed</v>
      </c>
      <c r="B74" s="43" t="e">
        <f>Arbejdsark!#REF!</f>
        <v>#REF!</v>
      </c>
      <c r="C74" s="45" t="str">
        <f>IF('Sortering af spørgsmål'!$C$17=Projektforudsætninger!$C$24,Arbejdsark!#REF!,"")</f>
        <v/>
      </c>
      <c r="D74" s="46">
        <f>Arbejdsark!D74</f>
        <v>0</v>
      </c>
      <c r="E74" s="45">
        <f>Arbejdsark!I74</f>
        <v>0</v>
      </c>
      <c r="F74" s="45">
        <f>Arbejdsark!J74</f>
        <v>0</v>
      </c>
      <c r="G74" s="45" t="e">
        <f>Arbejdsark!#REF!</f>
        <v>#REF!</v>
      </c>
      <c r="H74" s="45" t="e">
        <f>Arbejdsark!#REF!</f>
        <v>#REF!</v>
      </c>
      <c r="I74" s="45" t="str">
        <f>IF('Sortering af spørgsmål'!$C$17=Projektforudsætninger!$C$24,Arbejdsark!#REF!,"")</f>
        <v/>
      </c>
      <c r="J74" s="41" t="s">
        <v>9</v>
      </c>
      <c r="K74" s="41"/>
      <c r="L74" s="19"/>
      <c r="M74" s="19"/>
      <c r="N74" s="19"/>
      <c r="O74" s="19"/>
      <c r="P74" s="19"/>
      <c r="Q74" s="19"/>
      <c r="R74" s="19"/>
      <c r="S74" s="19"/>
      <c r="T74" s="19"/>
      <c r="U74" s="19"/>
    </row>
    <row r="75" spans="1:21" x14ac:dyDescent="0.45">
      <c r="A75" s="45"/>
      <c r="B75" s="45"/>
      <c r="C75" s="45"/>
      <c r="D75" s="46"/>
      <c r="E75" s="45"/>
      <c r="F75" s="45"/>
      <c r="G75" s="45"/>
      <c r="H75" s="45"/>
      <c r="I75" s="45"/>
      <c r="J75" s="47"/>
      <c r="K75" s="47"/>
      <c r="L75" s="19"/>
      <c r="M75" s="19"/>
      <c r="N75" s="19"/>
      <c r="O75" s="19"/>
      <c r="P75" s="19"/>
      <c r="Q75" s="19"/>
      <c r="R75" s="19"/>
      <c r="S75" s="19"/>
      <c r="T75" s="19"/>
      <c r="U75" s="19"/>
    </row>
    <row r="76" spans="1:21" ht="28.5" customHeight="1" x14ac:dyDescent="0.45">
      <c r="A76" s="56" t="str">
        <f>Arbejdsark!$A$239</f>
        <v>Udearealer</v>
      </c>
      <c r="B76" s="57">
        <v>4</v>
      </c>
      <c r="C76" s="56"/>
      <c r="D76" s="56"/>
      <c r="E76" s="56"/>
      <c r="F76" s="56"/>
      <c r="G76" s="56"/>
      <c r="H76" s="56"/>
      <c r="I76" s="57" t="str">
        <f>IF('Sortering af spørgsmål'!$C$18=Projektforudsætninger!$C$24,"Udfyld spørgsmål","Ingen spørgsmål")</f>
        <v>Ingen spørgsmål</v>
      </c>
      <c r="J76" s="54"/>
      <c r="K76" s="54"/>
      <c r="L76" s="19"/>
      <c r="M76" s="19"/>
      <c r="N76" s="19"/>
      <c r="O76" s="19"/>
      <c r="P76" s="19"/>
      <c r="Q76" s="19"/>
      <c r="R76" s="19"/>
      <c r="S76" s="19"/>
      <c r="T76" s="19"/>
      <c r="U76" s="19"/>
    </row>
    <row r="77" spans="1:21" s="33" customFormat="1" ht="113.65" customHeight="1" x14ac:dyDescent="0.45">
      <c r="A77" s="45" t="str">
        <f>Arbejdsark!$A$239</f>
        <v>Udearealer</v>
      </c>
      <c r="B77" s="43" t="str">
        <f>Arbejdsark!$B$239</f>
        <v>4.1</v>
      </c>
      <c r="C77" s="45" t="str">
        <f>IF('Sortering af spørgsmål'!$C$18=Projektforudsætninger!$C$24,Arbejdsark!C239,"")</f>
        <v/>
      </c>
      <c r="D77" s="46">
        <f>Arbejdsark!D77</f>
        <v>0</v>
      </c>
      <c r="E77" s="45">
        <f>Arbejdsark!I77</f>
        <v>0</v>
      </c>
      <c r="F77" s="45">
        <f>Arbejdsark!J77</f>
        <v>0</v>
      </c>
      <c r="G77" s="45" t="e">
        <f>Arbejdsark!#REF!</f>
        <v>#REF!</v>
      </c>
      <c r="H77" s="45" t="e">
        <f>Arbejdsark!#REF!</f>
        <v>#REF!</v>
      </c>
      <c r="I77" s="45" t="str">
        <f>IF('Sortering af spørgsmål'!$C$18=Projektforudsætninger!$C$24,Arbejdsark!K239,"")</f>
        <v/>
      </c>
      <c r="J77" s="41" t="s">
        <v>9</v>
      </c>
      <c r="K77" s="41"/>
      <c r="L77" s="27">
        <f t="shared" ref="L77:U77" si="1">L4</f>
        <v>0</v>
      </c>
      <c r="M77" s="27">
        <f t="shared" si="1"/>
        <v>0</v>
      </c>
      <c r="N77" s="27">
        <f t="shared" si="1"/>
        <v>0</v>
      </c>
      <c r="O77" s="27">
        <f t="shared" si="1"/>
        <v>0</v>
      </c>
      <c r="P77" s="27">
        <f t="shared" si="1"/>
        <v>0</v>
      </c>
      <c r="Q77" s="27">
        <f t="shared" si="1"/>
        <v>0</v>
      </c>
      <c r="R77" s="27">
        <f t="shared" si="1"/>
        <v>0</v>
      </c>
      <c r="S77" s="27">
        <f t="shared" si="1"/>
        <v>0</v>
      </c>
      <c r="T77" s="27">
        <f t="shared" si="1"/>
        <v>0</v>
      </c>
      <c r="U77" s="27">
        <f t="shared" si="1"/>
        <v>0</v>
      </c>
    </row>
    <row r="78" spans="1:21" ht="170.25" customHeight="1" x14ac:dyDescent="0.45">
      <c r="A78" s="45" t="str">
        <f>Arbejdsark!$A$239</f>
        <v>Udearealer</v>
      </c>
      <c r="B78" s="43" t="str">
        <f>Arbejdsark!$B$244</f>
        <v>4.2</v>
      </c>
      <c r="C78" s="45" t="str">
        <f>IF('Sortering af spørgsmål'!$C$18=Projektforudsætninger!$C$24,Arbejdsark!C244,"")</f>
        <v/>
      </c>
      <c r="D78" s="46" t="str">
        <f>Arbejdsark!D78</f>
        <v>ENV2.3
Vægtning: ENV2.3 pkt. 2.1 + 2.2+3</v>
      </c>
      <c r="E78" s="45" t="str">
        <f>Arbejdsark!I78</f>
        <v>x</v>
      </c>
      <c r="F78" s="45">
        <f>Arbejdsark!J78</f>
        <v>0</v>
      </c>
      <c r="G78" s="45" t="e">
        <f>Arbejdsark!#REF!</f>
        <v>#REF!</v>
      </c>
      <c r="H78" s="45" t="e">
        <f>Arbejdsark!#REF!</f>
        <v>#REF!</v>
      </c>
      <c r="I78" s="45" t="str">
        <f>IF('Sortering af spørgsmål'!$C$18=Projektforudsætninger!$C$24,Arbejdsark!K244,"")</f>
        <v/>
      </c>
      <c r="J78" s="41" t="s">
        <v>9</v>
      </c>
      <c r="K78" s="41"/>
      <c r="L78" s="19"/>
      <c r="M78" s="19"/>
      <c r="N78" s="19"/>
      <c r="O78" s="19"/>
      <c r="P78" s="19"/>
      <c r="Q78" s="19"/>
      <c r="R78" s="19"/>
      <c r="S78" s="19"/>
      <c r="T78" s="19"/>
      <c r="U78" s="19"/>
    </row>
    <row r="79" spans="1:21" x14ac:dyDescent="0.45">
      <c r="A79" s="45"/>
      <c r="B79" s="45"/>
      <c r="C79" s="45"/>
      <c r="D79" s="46"/>
      <c r="E79" s="45"/>
      <c r="F79" s="45"/>
      <c r="G79" s="45"/>
      <c r="H79" s="45"/>
      <c r="I79" s="45"/>
      <c r="J79" s="47"/>
      <c r="K79" s="47"/>
      <c r="L79" s="19"/>
      <c r="M79" s="19"/>
      <c r="N79" s="19"/>
      <c r="O79" s="19"/>
      <c r="P79" s="19"/>
      <c r="Q79" s="19"/>
      <c r="R79" s="19"/>
      <c r="S79" s="19"/>
      <c r="T79" s="19"/>
      <c r="U79" s="19"/>
    </row>
    <row r="80" spans="1:21" ht="28.5" customHeight="1" x14ac:dyDescent="0.45">
      <c r="A80" s="56" t="str">
        <f>Arbejdsark!$A$250</f>
        <v>Cyklister</v>
      </c>
      <c r="B80" s="57">
        <v>5</v>
      </c>
      <c r="C80" s="56"/>
      <c r="D80" s="56"/>
      <c r="E80" s="56"/>
      <c r="F80" s="56"/>
      <c r="G80" s="56"/>
      <c r="H80" s="56"/>
      <c r="I80" s="57" t="str">
        <f>IF('Sortering af spørgsmål'!$C$19=Projektforudsætninger!$C$24,"Udfyld spørgsmål","Ingen spørgsmål")</f>
        <v>Ingen spørgsmål</v>
      </c>
      <c r="J80" s="54"/>
      <c r="K80" s="54"/>
      <c r="L80" s="19"/>
      <c r="M80" s="19"/>
      <c r="N80" s="19"/>
      <c r="O80" s="19"/>
      <c r="P80" s="19"/>
      <c r="Q80" s="19"/>
      <c r="R80" s="19"/>
      <c r="S80" s="19"/>
      <c r="T80" s="19"/>
      <c r="U80" s="19"/>
    </row>
    <row r="81" spans="1:21" ht="113.65" customHeight="1" x14ac:dyDescent="0.45">
      <c r="A81" s="45" t="str">
        <f>Arbejdsark!$A$250</f>
        <v>Cyklister</v>
      </c>
      <c r="B81" s="43" t="str">
        <f>Arbejdsark!$B$250</f>
        <v>5.1</v>
      </c>
      <c r="C81" s="45" t="str">
        <f>IF('Sortering af spørgsmål'!$C$19=Projektforudsætninger!$C$24,Arbejdsark!C250,"")</f>
        <v/>
      </c>
      <c r="D81" s="46">
        <f>Arbejdsark!D81</f>
        <v>0</v>
      </c>
      <c r="E81" s="45">
        <f>Arbejdsark!I81</f>
        <v>0</v>
      </c>
      <c r="F81" s="45">
        <f>Arbejdsark!J81</f>
        <v>0</v>
      </c>
      <c r="G81" s="45" t="e">
        <f>Arbejdsark!#REF!</f>
        <v>#REF!</v>
      </c>
      <c r="H81" s="45" t="e">
        <f>Arbejdsark!#REF!</f>
        <v>#REF!</v>
      </c>
      <c r="I81" s="45" t="str">
        <f>IF('Sortering af spørgsmål'!$C$19=Projektforudsætninger!$C$24,Arbejdsark!K250,"")</f>
        <v/>
      </c>
      <c r="J81" s="41" t="s">
        <v>9</v>
      </c>
      <c r="K81" s="41"/>
      <c r="L81" s="19"/>
      <c r="M81" s="19"/>
      <c r="N81" s="19"/>
      <c r="O81" s="19"/>
      <c r="P81" s="19"/>
      <c r="Q81" s="19"/>
      <c r="R81" s="19"/>
      <c r="S81" s="19"/>
      <c r="T81" s="19"/>
      <c r="U81" s="19"/>
    </row>
    <row r="82" spans="1:21" ht="141.75" customHeight="1" x14ac:dyDescent="0.45">
      <c r="A82" s="45" t="str">
        <f>Arbejdsark!$A$250</f>
        <v>Cyklister</v>
      </c>
      <c r="B82" s="43" t="str">
        <f>Arbejdsark!$B$255</f>
        <v>5.2</v>
      </c>
      <c r="C82" s="45" t="str">
        <f>IF('Sortering af spørgsmål'!$C$19=Projektforudsætninger!$C$24,Arbejdsark!C255,"")</f>
        <v/>
      </c>
      <c r="D82" s="46">
        <f>Arbejdsark!D82</f>
        <v>0</v>
      </c>
      <c r="E82" s="45">
        <f>Arbejdsark!I82</f>
        <v>0</v>
      </c>
      <c r="F82" s="45">
        <f>Arbejdsark!J82</f>
        <v>0</v>
      </c>
      <c r="G82" s="45" t="e">
        <f>Arbejdsark!#REF!</f>
        <v>#REF!</v>
      </c>
      <c r="H82" s="45" t="e">
        <f>Arbejdsark!#REF!</f>
        <v>#REF!</v>
      </c>
      <c r="I82" s="45" t="str">
        <f>IF('Sortering af spørgsmål'!$C$19=Projektforudsætninger!$C$24,Arbejdsark!K255,"")</f>
        <v/>
      </c>
      <c r="J82" s="41" t="s">
        <v>9</v>
      </c>
      <c r="K82" s="41"/>
      <c r="L82" s="19"/>
      <c r="M82" s="19"/>
      <c r="N82" s="19"/>
      <c r="O82" s="19"/>
      <c r="P82" s="19"/>
      <c r="Q82" s="19"/>
      <c r="R82" s="19"/>
      <c r="S82" s="19"/>
      <c r="T82" s="19"/>
      <c r="U82" s="19"/>
    </row>
    <row r="83" spans="1:21" ht="141.75" customHeight="1" x14ac:dyDescent="0.45">
      <c r="A83" s="45" t="str">
        <f>Arbejdsark!$A$250</f>
        <v>Cyklister</v>
      </c>
      <c r="B83" s="43" t="str">
        <f>Arbejdsark!$B$260</f>
        <v>5.3</v>
      </c>
      <c r="C83" s="45" t="str">
        <f>IF('Sortering af spørgsmål'!$C$19=Projektforudsætninger!$C$24,Arbejdsark!C260,"")</f>
        <v/>
      </c>
      <c r="D83" s="46" t="e">
        <f>Arbejdsark!#REF!</f>
        <v>#REF!</v>
      </c>
      <c r="E83" s="45" t="e">
        <f>Arbejdsark!#REF!</f>
        <v>#REF!</v>
      </c>
      <c r="F83" s="45" t="e">
        <f>Arbejdsark!#REF!</f>
        <v>#REF!</v>
      </c>
      <c r="G83" s="45" t="e">
        <f>Arbejdsark!#REF!</f>
        <v>#REF!</v>
      </c>
      <c r="H83" s="45" t="e">
        <f>Arbejdsark!#REF!</f>
        <v>#REF!</v>
      </c>
      <c r="I83" s="45" t="str">
        <f>IF('Sortering af spørgsmål'!$C$19=Projektforudsætninger!$C$24,Arbejdsark!K260,"")</f>
        <v/>
      </c>
      <c r="J83" s="41" t="s">
        <v>9</v>
      </c>
      <c r="K83" s="41"/>
      <c r="L83" s="19"/>
      <c r="M83" s="19"/>
      <c r="N83" s="19"/>
      <c r="O83" s="19"/>
      <c r="P83" s="19"/>
      <c r="Q83" s="19"/>
      <c r="R83" s="19"/>
      <c r="S83" s="19"/>
      <c r="T83" s="19"/>
      <c r="U83" s="19"/>
    </row>
    <row r="84" spans="1:21" x14ac:dyDescent="0.45">
      <c r="A84" s="45"/>
      <c r="B84" s="45"/>
      <c r="C84" s="45"/>
      <c r="D84" s="46"/>
      <c r="E84" s="45"/>
      <c r="F84" s="45"/>
      <c r="G84" s="45"/>
      <c r="H84" s="45"/>
      <c r="I84" s="45"/>
      <c r="J84" s="47"/>
      <c r="K84" s="47"/>
      <c r="L84" s="19"/>
      <c r="M84" s="19"/>
      <c r="N84" s="19"/>
      <c r="O84" s="19"/>
      <c r="P84" s="19"/>
      <c r="Q84" s="19"/>
      <c r="R84" s="19"/>
      <c r="S84" s="19"/>
      <c r="T84" s="19"/>
      <c r="U84" s="19"/>
    </row>
    <row r="85" spans="1:21" ht="28.5" customHeight="1" x14ac:dyDescent="0.45">
      <c r="A85" s="56" t="str">
        <f>Arbejdsark!$A$265</f>
        <v>Tryghed og sikkerhed</v>
      </c>
      <c r="B85" s="57">
        <v>6</v>
      </c>
      <c r="C85" s="56"/>
      <c r="D85" s="56"/>
      <c r="E85" s="56"/>
      <c r="F85" s="56"/>
      <c r="G85" s="56"/>
      <c r="H85" s="56"/>
      <c r="I85" s="57" t="str">
        <f>IF('Sortering af spørgsmål'!$C$20=Projektforudsætninger!$C$24,"Udfyld spørgsmål","Ingen spørgsmål")</f>
        <v>Ingen spørgsmål</v>
      </c>
      <c r="J85" s="54"/>
      <c r="K85" s="54"/>
      <c r="L85" s="19"/>
      <c r="M85" s="19"/>
      <c r="N85" s="19"/>
      <c r="O85" s="19"/>
      <c r="P85" s="19"/>
      <c r="Q85" s="19"/>
      <c r="R85" s="19"/>
      <c r="S85" s="19"/>
      <c r="T85" s="19"/>
      <c r="U85" s="19"/>
    </row>
    <row r="86" spans="1:21" ht="113.65" customHeight="1" x14ac:dyDescent="0.45">
      <c r="A86" s="45" t="str">
        <f>Arbejdsark!$A$265</f>
        <v>Tryghed og sikkerhed</v>
      </c>
      <c r="B86" s="43" t="str">
        <f>Arbejdsark!$B$265</f>
        <v>6.1</v>
      </c>
      <c r="C86" s="45" t="str">
        <f>IF('Sortering af spørgsmål'!$C$20=Projektforudsætninger!$C$24,Arbejdsark!C265,"")</f>
        <v/>
      </c>
      <c r="D86" s="46">
        <f>Arbejdsark!D83</f>
        <v>0</v>
      </c>
      <c r="E86" s="45">
        <f>Arbejdsark!I83</f>
        <v>0</v>
      </c>
      <c r="F86" s="45">
        <f>Arbejdsark!J83</f>
        <v>0</v>
      </c>
      <c r="G86" s="45" t="e">
        <f>Arbejdsark!#REF!</f>
        <v>#REF!</v>
      </c>
      <c r="H86" s="45" t="e">
        <f>Arbejdsark!#REF!</f>
        <v>#REF!</v>
      </c>
      <c r="I86" s="45" t="str">
        <f>IF('Sortering af spørgsmål'!$C$20=Projektforudsætninger!$C$24,Arbejdsark!K265,"")</f>
        <v/>
      </c>
      <c r="J86" s="41" t="s">
        <v>9</v>
      </c>
      <c r="K86" s="41"/>
      <c r="L86" s="19"/>
      <c r="M86" s="19"/>
      <c r="N86" s="19"/>
      <c r="O86" s="19"/>
      <c r="P86" s="19"/>
      <c r="Q86" s="19"/>
      <c r="R86" s="19"/>
      <c r="S86" s="19"/>
      <c r="T86" s="19"/>
      <c r="U86" s="19"/>
    </row>
    <row r="87" spans="1:21" ht="113.65" customHeight="1" x14ac:dyDescent="0.45">
      <c r="A87" s="45" t="str">
        <f>Arbejdsark!$A$265</f>
        <v>Tryghed og sikkerhed</v>
      </c>
      <c r="B87" s="43" t="str">
        <f>Arbejdsark!$B$270</f>
        <v>6.2</v>
      </c>
      <c r="C87" s="45" t="str">
        <f>IF('Sortering af spørgsmål'!$C$20=Projektforudsætninger!$C$24,Arbejdsark!C270,"")</f>
        <v/>
      </c>
      <c r="D87" s="46">
        <f>Arbejdsark!D85</f>
        <v>0</v>
      </c>
      <c r="E87" s="45">
        <f>Arbejdsark!I85</f>
        <v>0</v>
      </c>
      <c r="F87" s="45">
        <f>Arbejdsark!J85</f>
        <v>0</v>
      </c>
      <c r="G87" s="45" t="e">
        <f>Arbejdsark!#REF!</f>
        <v>#REF!</v>
      </c>
      <c r="H87" s="45" t="e">
        <f>Arbejdsark!#REF!</f>
        <v>#REF!</v>
      </c>
      <c r="I87" s="45" t="str">
        <f>IF('Sortering af spørgsmål'!$C$20=Projektforudsætninger!$C$24,Arbejdsark!K270,"")</f>
        <v/>
      </c>
      <c r="J87" s="41" t="s">
        <v>9</v>
      </c>
      <c r="K87" s="41"/>
      <c r="L87" s="19"/>
      <c r="M87" s="19"/>
      <c r="N87" s="19"/>
      <c r="O87" s="19"/>
      <c r="P87" s="19"/>
      <c r="Q87" s="19"/>
      <c r="R87" s="19"/>
      <c r="S87" s="19"/>
      <c r="T87" s="19"/>
      <c r="U87" s="19"/>
    </row>
    <row r="88" spans="1:21" x14ac:dyDescent="0.45">
      <c r="A88" s="45"/>
      <c r="B88" s="45"/>
      <c r="C88" s="45"/>
      <c r="D88" s="46"/>
      <c r="E88" s="45"/>
      <c r="F88" s="45"/>
      <c r="G88" s="45"/>
      <c r="H88" s="45"/>
      <c r="I88" s="45"/>
      <c r="J88" s="47"/>
      <c r="K88" s="47"/>
      <c r="L88" s="19"/>
      <c r="M88" s="19"/>
      <c r="N88" s="19"/>
      <c r="O88" s="19"/>
      <c r="P88" s="19"/>
      <c r="Q88" s="19"/>
      <c r="R88" s="19"/>
      <c r="S88" s="19"/>
      <c r="T88" s="19"/>
      <c r="U88" s="19"/>
    </row>
    <row r="89" spans="1:21" ht="28.5" customHeight="1" x14ac:dyDescent="0.45">
      <c r="A89" s="56" t="str">
        <f>Arbejdsark!$A$279</f>
        <v>Arkitektonisk kvalitet</v>
      </c>
      <c r="B89" s="57">
        <v>7</v>
      </c>
      <c r="C89" s="56"/>
      <c r="D89" s="56"/>
      <c r="E89" s="56"/>
      <c r="F89" s="56"/>
      <c r="G89" s="56"/>
      <c r="H89" s="56"/>
      <c r="I89" s="57" t="str">
        <f>IF('Sortering af spørgsmål'!$C$21=Projektforudsætninger!$C$24,"Udfyld spørgsmål","Ingen spørgsmål")</f>
        <v>Ingen spørgsmål</v>
      </c>
      <c r="J89" s="54"/>
      <c r="K89" s="54"/>
      <c r="L89" s="19"/>
      <c r="M89" s="19"/>
      <c r="N89" s="19"/>
      <c r="O89" s="19"/>
      <c r="P89" s="19"/>
      <c r="Q89" s="19"/>
      <c r="R89" s="19"/>
      <c r="S89" s="19"/>
      <c r="T89" s="19"/>
      <c r="U89" s="19"/>
    </row>
    <row r="90" spans="1:21" s="33" customFormat="1" ht="72" customHeight="1" x14ac:dyDescent="0.45">
      <c r="A90" s="45" t="str">
        <f>IF(Projektforudsætninger!C40="Totalentreprisekonkurrence eller OPP leverance",Arbejdsark!$A$279,"")</f>
        <v/>
      </c>
      <c r="B90" s="43" t="str">
        <f>Arbejdsark!$B$289</f>
        <v>7.1</v>
      </c>
      <c r="C90" s="45" t="str">
        <f>IF('Sortering af spørgsmål'!$C$21=Projektforudsætninger!$C$24,IF(Projektforudsætninger!C40="Totalentreprisekonkurrence eller OPP leverance",Arbejdsark!C289,""),"")</f>
        <v/>
      </c>
      <c r="D90" s="46"/>
      <c r="E90" s="45"/>
      <c r="F90" s="45"/>
      <c r="G90" s="45"/>
      <c r="H90" s="45"/>
      <c r="I90" s="45" t="str">
        <f>IF('Sortering af spørgsmål'!$C$21=Projektforudsætninger!$C$24,IF(Projektforudsætninger!C40="Totalentreprisekonkurrence eller OPP leverance",Arbejdsark!K289,""),"")</f>
        <v/>
      </c>
      <c r="J90" s="41" t="s">
        <v>9</v>
      </c>
      <c r="K90" s="41"/>
      <c r="L90" s="32"/>
      <c r="M90" s="32"/>
      <c r="N90" s="32"/>
      <c r="O90" s="32"/>
      <c r="P90" s="32"/>
      <c r="Q90" s="32"/>
      <c r="R90" s="32"/>
      <c r="S90" s="32"/>
      <c r="T90" s="32"/>
      <c r="U90" s="32"/>
    </row>
    <row r="91" spans="1:21" s="33" customFormat="1" ht="75.75" customHeight="1" x14ac:dyDescent="0.45">
      <c r="A91" s="45"/>
      <c r="B91" s="43" t="str">
        <f>Arbejdsark!$B$294</f>
        <v>7.2</v>
      </c>
      <c r="C91" s="45" t="str">
        <f>IF('Sortering af spørgsmål'!$C$21=Projektforudsætninger!$C$24,IF(Projektforudsætninger!C40="Totalentreprisekonkurrence eller OPP leverance",Arbejdsark!C294,""),"")</f>
        <v/>
      </c>
      <c r="D91" s="46"/>
      <c r="E91" s="45"/>
      <c r="F91" s="45"/>
      <c r="G91" s="45"/>
      <c r="H91" s="45"/>
      <c r="I91" s="45" t="str">
        <f>IF('Sortering af spørgsmål'!$C$21=Projektforudsætninger!$C$24,IF(Projektforudsætninger!C40="Totalentreprisekonkurrence eller OPP leverance",Arbejdsark!K294,""),"")</f>
        <v/>
      </c>
      <c r="J91" s="41" t="s">
        <v>9</v>
      </c>
      <c r="K91" s="41"/>
      <c r="L91" s="32"/>
      <c r="M91" s="32"/>
      <c r="N91" s="32"/>
      <c r="O91" s="32"/>
      <c r="P91" s="32"/>
      <c r="Q91" s="32"/>
      <c r="R91" s="32"/>
      <c r="S91" s="32"/>
      <c r="T91" s="32"/>
      <c r="U91" s="32"/>
    </row>
    <row r="92" spans="1:21" x14ac:dyDescent="0.45">
      <c r="A92" s="45"/>
      <c r="B92" s="45"/>
      <c r="C92" s="45"/>
      <c r="D92" s="46"/>
      <c r="E92" s="45"/>
      <c r="F92" s="45"/>
      <c r="G92" s="45"/>
      <c r="H92" s="45"/>
      <c r="I92" s="45"/>
      <c r="J92" s="47"/>
      <c r="K92" s="47"/>
      <c r="L92" s="19"/>
      <c r="M92" s="19"/>
      <c r="N92" s="19"/>
      <c r="O92" s="19"/>
      <c r="P92" s="19"/>
      <c r="Q92" s="19"/>
      <c r="R92" s="19"/>
      <c r="S92" s="19"/>
      <c r="T92" s="19"/>
      <c r="U92" s="19"/>
    </row>
    <row r="93" spans="1:21" ht="28.5" customHeight="1" x14ac:dyDescent="0.45">
      <c r="A93" s="56" t="str">
        <f>Arbejdsark!$A$300</f>
        <v>Plandisponering</v>
      </c>
      <c r="B93" s="57">
        <v>8</v>
      </c>
      <c r="C93" s="56"/>
      <c r="D93" s="56"/>
      <c r="E93" s="56"/>
      <c r="F93" s="56"/>
      <c r="G93" s="56"/>
      <c r="H93" s="56"/>
      <c r="I93" s="57" t="str">
        <f>IF('Sortering af spørgsmål'!$C$22=Projektforudsætninger!$C$24,"Udfyld spørgsmål","Ingen spørgsmål")</f>
        <v>Ingen spørgsmål</v>
      </c>
      <c r="J93" s="54"/>
      <c r="K93" s="54"/>
      <c r="L93" s="19"/>
      <c r="M93" s="19"/>
      <c r="N93" s="19"/>
      <c r="O93" s="19"/>
      <c r="P93" s="19"/>
      <c r="Q93" s="19"/>
      <c r="R93" s="19"/>
      <c r="S93" s="19"/>
      <c r="T93" s="19"/>
      <c r="U93" s="19"/>
    </row>
    <row r="94" spans="1:21" ht="97.5" customHeight="1" x14ac:dyDescent="0.45">
      <c r="A94" s="45" t="str">
        <f>Arbejdsark!$A$300</f>
        <v>Plandisponering</v>
      </c>
      <c r="B94" s="43" t="str">
        <f>Arbejdsark!$B$300</f>
        <v>8.1</v>
      </c>
      <c r="C94" s="45" t="str">
        <f>IF('Sortering af spørgsmål'!$C$22=Projektforudsætninger!$C$24,Arbejdsark!C300,"")</f>
        <v/>
      </c>
      <c r="D94" s="46" t="str">
        <f>Arbejdsark!D91</f>
        <v>ECO2.2
Vægtning: ECO2.2 pkt. 1.1 + 1.2 +1.3</v>
      </c>
      <c r="E94" s="45" t="str">
        <f>Arbejdsark!I91</f>
        <v>x</v>
      </c>
      <c r="F94" s="45">
        <f>Arbejdsark!J91</f>
        <v>0</v>
      </c>
      <c r="G94" s="45" t="e">
        <f>Arbejdsark!#REF!</f>
        <v>#REF!</v>
      </c>
      <c r="H94" s="45" t="e">
        <f>Arbejdsark!#REF!</f>
        <v>#REF!</v>
      </c>
      <c r="I94" s="45" t="str">
        <f>IF('Sortering af spørgsmål'!$C$22=Projektforudsætninger!$C$24,Arbejdsark!K300,"")</f>
        <v/>
      </c>
      <c r="J94" s="41" t="s">
        <v>9</v>
      </c>
      <c r="K94" s="41"/>
      <c r="L94" s="19"/>
      <c r="M94" s="19"/>
      <c r="N94" s="19"/>
      <c r="O94" s="19"/>
      <c r="P94" s="19"/>
      <c r="Q94" s="19"/>
      <c r="R94" s="19"/>
      <c r="S94" s="19"/>
      <c r="T94" s="19"/>
      <c r="U94" s="19"/>
    </row>
    <row r="95" spans="1:21" ht="113.65" customHeight="1" x14ac:dyDescent="0.45">
      <c r="A95" s="45" t="str">
        <f>Arbejdsark!$A$300</f>
        <v>Plandisponering</v>
      </c>
      <c r="B95" s="43" t="str">
        <f>Arbejdsark!$B$306</f>
        <v>8.2</v>
      </c>
      <c r="C95" s="45" t="str">
        <f>IF('Sortering af spørgsmål'!$C$22=Projektforudsætninger!$C$24,Arbejdsark!C306,"")</f>
        <v/>
      </c>
      <c r="D95" s="46">
        <f>Arbejdsark!D92</f>
        <v>0</v>
      </c>
      <c r="E95" s="45">
        <f>Arbejdsark!I92</f>
        <v>0</v>
      </c>
      <c r="F95" s="45">
        <f>Arbejdsark!J92</f>
        <v>0</v>
      </c>
      <c r="G95" s="45" t="e">
        <f>Arbejdsark!#REF!</f>
        <v>#REF!</v>
      </c>
      <c r="H95" s="45" t="e">
        <f>Arbejdsark!#REF!</f>
        <v>#REF!</v>
      </c>
      <c r="I95" s="45" t="str">
        <f>IF('Sortering af spørgsmål'!$C$22=Projektforudsætninger!$C$24,Arbejdsark!K306,"")</f>
        <v/>
      </c>
      <c r="J95" s="41" t="s">
        <v>9</v>
      </c>
      <c r="K95" s="41"/>
      <c r="L95" s="19"/>
      <c r="M95" s="19"/>
      <c r="N95" s="19"/>
      <c r="O95" s="19"/>
      <c r="P95" s="19"/>
      <c r="Q95" s="19"/>
      <c r="R95" s="19"/>
      <c r="S95" s="19"/>
      <c r="T95" s="19"/>
      <c r="U95" s="19"/>
    </row>
    <row r="96" spans="1:21" ht="141.75" customHeight="1" x14ac:dyDescent="0.45">
      <c r="A96" s="45" t="str">
        <f>Arbejdsark!$A$300</f>
        <v>Plandisponering</v>
      </c>
      <c r="B96" s="43" t="str">
        <f>Arbejdsark!$B$311</f>
        <v>8.3</v>
      </c>
      <c r="C96" s="45" t="str">
        <f>IF('Sortering af spørgsmål'!$C$22=Projektforudsætninger!$C$24,Arbejdsark!C311,"")</f>
        <v/>
      </c>
      <c r="D96" s="46">
        <f>Arbejdsark!D93</f>
        <v>0</v>
      </c>
      <c r="E96" s="45">
        <f>Arbejdsark!I93</f>
        <v>0</v>
      </c>
      <c r="F96" s="45">
        <f>Arbejdsark!J93</f>
        <v>0</v>
      </c>
      <c r="G96" s="45" t="e">
        <f>Arbejdsark!#REF!</f>
        <v>#REF!</v>
      </c>
      <c r="H96" s="45" t="e">
        <f>Arbejdsark!#REF!</f>
        <v>#REF!</v>
      </c>
      <c r="I96" s="45" t="str">
        <f>IF('Sortering af spørgsmål'!$C$22=Projektforudsætninger!$C$24,Arbejdsark!K311,"")</f>
        <v/>
      </c>
      <c r="J96" s="41" t="s">
        <v>9</v>
      </c>
      <c r="K96" s="41"/>
      <c r="L96" s="19"/>
      <c r="M96" s="19"/>
      <c r="N96" s="19"/>
      <c r="O96" s="19"/>
      <c r="P96" s="19"/>
      <c r="Q96" s="19"/>
      <c r="R96" s="19"/>
      <c r="S96" s="19"/>
      <c r="T96" s="19"/>
      <c r="U96" s="19"/>
    </row>
    <row r="97" spans="1:21" ht="113.65" customHeight="1" x14ac:dyDescent="0.45">
      <c r="A97" s="45" t="str">
        <f>Arbejdsark!$A$300</f>
        <v>Plandisponering</v>
      </c>
      <c r="B97" s="43" t="str">
        <f>Arbejdsark!$B$316</f>
        <v>8.4</v>
      </c>
      <c r="C97" s="45" t="str">
        <f>IF('Sortering af spørgsmål'!$C$22=Projektforudsætninger!$C$24,Arbejdsark!C316,"")</f>
        <v/>
      </c>
      <c r="D97" s="46">
        <f>Arbejdsark!D94</f>
        <v>0</v>
      </c>
      <c r="E97" s="45">
        <f>Arbejdsark!I94</f>
        <v>0</v>
      </c>
      <c r="F97" s="45">
        <f>Arbejdsark!J94</f>
        <v>0</v>
      </c>
      <c r="G97" s="45" t="e">
        <f>Arbejdsark!#REF!</f>
        <v>#REF!</v>
      </c>
      <c r="H97" s="45" t="e">
        <f>Arbejdsark!#REF!</f>
        <v>#REF!</v>
      </c>
      <c r="I97" s="45" t="str">
        <f>IF('Sortering af spørgsmål'!$C$22=Projektforudsætninger!$C$24,Arbejdsark!K316,"")</f>
        <v/>
      </c>
      <c r="J97" s="41" t="s">
        <v>9</v>
      </c>
      <c r="K97" s="41"/>
      <c r="L97" s="19"/>
      <c r="M97" s="19"/>
      <c r="N97" s="19"/>
      <c r="O97" s="19"/>
      <c r="P97" s="19"/>
      <c r="Q97" s="19"/>
      <c r="R97" s="19"/>
      <c r="S97" s="19"/>
      <c r="T97" s="19"/>
      <c r="U97" s="19"/>
    </row>
    <row r="98" spans="1:21" ht="127.5" customHeight="1" x14ac:dyDescent="0.45">
      <c r="A98" s="45" t="str">
        <f>Arbejdsark!$A$300</f>
        <v>Plandisponering</v>
      </c>
      <c r="B98" s="43" t="str">
        <f>Arbejdsark!$B$321</f>
        <v>8.5</v>
      </c>
      <c r="C98" s="45" t="str">
        <f>IF('Sortering af spørgsmål'!$C$22=Projektforudsætninger!$C$24,Arbejdsark!C321,"")</f>
        <v/>
      </c>
      <c r="D98" s="46">
        <f>Arbejdsark!D95</f>
        <v>0</v>
      </c>
      <c r="E98" s="45">
        <f>Arbejdsark!I95</f>
        <v>0</v>
      </c>
      <c r="F98" s="45">
        <f>Arbejdsark!J95</f>
        <v>0</v>
      </c>
      <c r="G98" s="45" t="e">
        <f>Arbejdsark!#REF!</f>
        <v>#REF!</v>
      </c>
      <c r="H98" s="45" t="e">
        <f>Arbejdsark!#REF!</f>
        <v>#REF!</v>
      </c>
      <c r="I98" s="45" t="str">
        <f>IF('Sortering af spørgsmål'!$C$22=Projektforudsætninger!$C$24,Arbejdsark!K321,"")</f>
        <v/>
      </c>
      <c r="J98" s="41" t="s">
        <v>9</v>
      </c>
      <c r="K98" s="41"/>
      <c r="L98" s="19"/>
      <c r="M98" s="19"/>
      <c r="N98" s="19"/>
      <c r="O98" s="19"/>
      <c r="P98" s="19"/>
      <c r="Q98" s="19"/>
      <c r="R98" s="19"/>
      <c r="S98" s="19"/>
      <c r="T98" s="19"/>
      <c r="U98" s="19"/>
    </row>
    <row r="99" spans="1:21" ht="141.75" customHeight="1" x14ac:dyDescent="0.45">
      <c r="A99" s="45" t="str">
        <f>Arbejdsark!$A$300</f>
        <v>Plandisponering</v>
      </c>
      <c r="B99" s="43" t="str">
        <f>Arbejdsark!$B$326</f>
        <v>8.6</v>
      </c>
      <c r="C99" s="45" t="str">
        <f>IF('Sortering af spørgsmål'!$C$22=Projektforudsætninger!$C$24,Arbejdsark!C326,"")</f>
        <v/>
      </c>
      <c r="D99" s="46" t="e">
        <f>Arbejdsark!#REF!</f>
        <v>#REF!</v>
      </c>
      <c r="E99" s="45" t="e">
        <f>Arbejdsark!#REF!</f>
        <v>#REF!</v>
      </c>
      <c r="F99" s="45" t="e">
        <f>Arbejdsark!#REF!</f>
        <v>#REF!</v>
      </c>
      <c r="G99" s="45" t="e">
        <f>Arbejdsark!#REF!</f>
        <v>#REF!</v>
      </c>
      <c r="H99" s="45" t="e">
        <f>Arbejdsark!#REF!</f>
        <v>#REF!</v>
      </c>
      <c r="I99" s="45" t="str">
        <f>IF('Sortering af spørgsmål'!$C$22=Projektforudsætninger!$C$24,Arbejdsark!K326,"")</f>
        <v/>
      </c>
      <c r="J99" s="41" t="s">
        <v>9</v>
      </c>
      <c r="K99" s="41"/>
      <c r="L99" s="19"/>
      <c r="M99" s="19"/>
      <c r="N99" s="19"/>
      <c r="O99" s="19"/>
      <c r="P99" s="19"/>
      <c r="Q99" s="19"/>
      <c r="R99" s="19"/>
      <c r="S99" s="19"/>
      <c r="T99" s="19"/>
      <c r="U99" s="19"/>
    </row>
    <row r="100" spans="1:21" ht="141.75" customHeight="1" x14ac:dyDescent="0.45">
      <c r="A100" s="45" t="str">
        <f>Arbejdsark!$A$300</f>
        <v>Plandisponering</v>
      </c>
      <c r="B100" s="43" t="str">
        <f>Arbejdsark!$B$331</f>
        <v>8.7</v>
      </c>
      <c r="C100" s="45" t="str">
        <f>IF('Sortering af spørgsmål'!$C$22=Projektforudsætninger!$C$24,Arbejdsark!C331,"")</f>
        <v/>
      </c>
      <c r="D100" s="46" t="str">
        <f>Arbejdsark!D109</f>
        <v>ECO1.1
Vægtning: 13% af ECO1.1</v>
      </c>
      <c r="E100" s="45" t="str">
        <f>Arbejdsark!I109</f>
        <v>x</v>
      </c>
      <c r="F100" s="45">
        <f>Arbejdsark!J109</f>
        <v>0</v>
      </c>
      <c r="G100" s="45" t="e">
        <f>Arbejdsark!#REF!</f>
        <v>#REF!</v>
      </c>
      <c r="H100" s="45" t="e">
        <f>Arbejdsark!#REF!</f>
        <v>#REF!</v>
      </c>
      <c r="I100" s="45" t="str">
        <f>IF('Sortering af spørgsmål'!$C$22=Projektforudsætninger!$C$24,Arbejdsark!K331,"")</f>
        <v/>
      </c>
      <c r="J100" s="41" t="s">
        <v>9</v>
      </c>
      <c r="K100" s="41"/>
      <c r="L100" s="19"/>
      <c r="M100" s="19"/>
      <c r="N100" s="19"/>
      <c r="O100" s="19"/>
      <c r="P100" s="19"/>
      <c r="Q100" s="19"/>
      <c r="R100" s="19"/>
      <c r="S100" s="19"/>
      <c r="T100" s="19"/>
      <c r="U100" s="19"/>
    </row>
    <row r="101" spans="1:21" ht="141.75" customHeight="1" x14ac:dyDescent="0.45">
      <c r="A101" s="45" t="str">
        <f>Arbejdsark!$A$300</f>
        <v>Plandisponering</v>
      </c>
      <c r="B101" s="43" t="str">
        <f>Arbejdsark!$B$336</f>
        <v>8.8</v>
      </c>
      <c r="C101" s="45" t="str">
        <f>IF('Sortering af spørgsmål'!$C$22=Projektforudsætninger!$C$24,Arbejdsark!C336,"")</f>
        <v/>
      </c>
      <c r="D101" s="46">
        <f>Arbejdsark!D110</f>
        <v>0</v>
      </c>
      <c r="E101" s="45">
        <f>Arbejdsark!I110</f>
        <v>0</v>
      </c>
      <c r="F101" s="45">
        <f>Arbejdsark!J110</f>
        <v>0</v>
      </c>
      <c r="G101" s="45" t="e">
        <f>Arbejdsark!#REF!</f>
        <v>#REF!</v>
      </c>
      <c r="H101" s="45" t="e">
        <f>Arbejdsark!#REF!</f>
        <v>#REF!</v>
      </c>
      <c r="I101" s="45" t="str">
        <f>IF('Sortering af spørgsmål'!$C$22=Projektforudsætninger!$C$24,Arbejdsark!K336,"")</f>
        <v/>
      </c>
      <c r="J101" s="41" t="s">
        <v>9</v>
      </c>
      <c r="K101" s="41"/>
      <c r="L101" s="19"/>
      <c r="M101" s="19"/>
      <c r="N101" s="19"/>
      <c r="O101" s="19"/>
      <c r="P101" s="19"/>
      <c r="Q101" s="19"/>
      <c r="R101" s="19"/>
      <c r="S101" s="19"/>
      <c r="T101" s="19"/>
      <c r="U101" s="19"/>
    </row>
    <row r="102" spans="1:21" ht="141.75" customHeight="1" x14ac:dyDescent="0.45">
      <c r="A102" s="45" t="str">
        <f>Arbejdsark!$A$300</f>
        <v>Plandisponering</v>
      </c>
      <c r="B102" s="43" t="str">
        <f>Arbejdsark!$B$341</f>
        <v>8.9</v>
      </c>
      <c r="C102" s="45" t="str">
        <f>IF('Sortering af spørgsmål'!$C$22=Projektforudsætninger!$C$24,Arbejdsark!C341,"")</f>
        <v/>
      </c>
      <c r="D102" s="46">
        <f>Arbejdsark!D111</f>
        <v>0</v>
      </c>
      <c r="E102" s="45">
        <f>Arbejdsark!I111</f>
        <v>0</v>
      </c>
      <c r="F102" s="45">
        <f>Arbejdsark!J111</f>
        <v>0</v>
      </c>
      <c r="G102" s="45" t="e">
        <f>Arbejdsark!#REF!</f>
        <v>#REF!</v>
      </c>
      <c r="H102" s="45" t="e">
        <f>Arbejdsark!#REF!</f>
        <v>#REF!</v>
      </c>
      <c r="I102" s="45" t="str">
        <f>IF('Sortering af spørgsmål'!$C$22=Projektforudsætninger!$C$24,Arbejdsark!K341,"")</f>
        <v/>
      </c>
      <c r="J102" s="41" t="s">
        <v>9</v>
      </c>
      <c r="K102" s="41"/>
      <c r="L102" s="19"/>
      <c r="M102" s="19"/>
      <c r="N102" s="19"/>
      <c r="O102" s="19"/>
      <c r="P102" s="19"/>
      <c r="Q102" s="19"/>
      <c r="R102" s="19"/>
      <c r="S102" s="19"/>
      <c r="T102" s="19"/>
      <c r="U102" s="19"/>
    </row>
    <row r="103" spans="1:21" ht="141.75" customHeight="1" x14ac:dyDescent="0.45">
      <c r="A103" s="45" t="str">
        <f>Arbejdsark!$A$300</f>
        <v>Plandisponering</v>
      </c>
      <c r="B103" s="43" t="str">
        <f>Arbejdsark!$B$346</f>
        <v>8.10</v>
      </c>
      <c r="C103" s="45" t="str">
        <f>IF('Sortering af spørgsmål'!$C$22=Projektforudsætninger!$C$24,Arbejdsark!C346,"")</f>
        <v/>
      </c>
      <c r="D103" s="46">
        <f>Arbejdsark!D112</f>
        <v>0</v>
      </c>
      <c r="E103" s="45">
        <f>Arbejdsark!I112</f>
        <v>0</v>
      </c>
      <c r="F103" s="45">
        <f>Arbejdsark!J112</f>
        <v>0</v>
      </c>
      <c r="G103" s="45" t="e">
        <f>Arbejdsark!#REF!</f>
        <v>#REF!</v>
      </c>
      <c r="H103" s="45" t="e">
        <f>Arbejdsark!#REF!</f>
        <v>#REF!</v>
      </c>
      <c r="I103" s="45" t="str">
        <f>IF('Sortering af spørgsmål'!$C$22=Projektforudsætninger!$C$24,Arbejdsark!K346,"")</f>
        <v/>
      </c>
      <c r="J103" s="41" t="s">
        <v>9</v>
      </c>
      <c r="K103" s="41"/>
      <c r="L103" s="19"/>
      <c r="M103" s="19"/>
      <c r="N103" s="19"/>
      <c r="O103" s="19"/>
      <c r="P103" s="19"/>
      <c r="Q103" s="19"/>
      <c r="R103" s="19"/>
      <c r="S103" s="19"/>
      <c r="T103" s="19"/>
      <c r="U103" s="19"/>
    </row>
    <row r="104" spans="1:21" ht="85.15" customHeight="1" x14ac:dyDescent="0.45">
      <c r="A104" s="45" t="str">
        <f>Arbejdsark!$A$300</f>
        <v>Plandisponering</v>
      </c>
      <c r="B104" s="43" t="str">
        <f>Arbejdsark!$B$351</f>
        <v>8.11</v>
      </c>
      <c r="C104" s="45" t="str">
        <f>IF('Sortering af spørgsmål'!$C$22=Projektforudsætninger!$C$24,Arbejdsark!C351,"")</f>
        <v/>
      </c>
      <c r="D104" s="46">
        <f>Arbejdsark!D113</f>
        <v>0</v>
      </c>
      <c r="E104" s="45">
        <f>Arbejdsark!I113</f>
        <v>0</v>
      </c>
      <c r="F104" s="45">
        <f>Arbejdsark!J113</f>
        <v>0</v>
      </c>
      <c r="G104" s="45" t="e">
        <f>Arbejdsark!#REF!</f>
        <v>#REF!</v>
      </c>
      <c r="H104" s="45" t="e">
        <f>Arbejdsark!#REF!</f>
        <v>#REF!</v>
      </c>
      <c r="I104" s="45" t="str">
        <f>IF('Sortering af spørgsmål'!$C$22=Projektforudsætninger!$C$24,Arbejdsark!K351,"")</f>
        <v/>
      </c>
      <c r="J104" s="41" t="s">
        <v>9</v>
      </c>
      <c r="K104" s="41"/>
    </row>
    <row r="105" spans="1:21" ht="113.65" customHeight="1" x14ac:dyDescent="0.45">
      <c r="A105" s="45" t="str">
        <f>Arbejdsark!$A$300</f>
        <v>Plandisponering</v>
      </c>
      <c r="B105" s="43" t="str">
        <f>Arbejdsark!$B$356</f>
        <v>8.12</v>
      </c>
      <c r="C105" s="45" t="str">
        <f>IF('Sortering af spørgsmål'!$C$22=Projektforudsætninger!$C$24,Arbejdsark!C356,"")</f>
        <v/>
      </c>
      <c r="D105" s="46">
        <f>Arbejdsark!D113</f>
        <v>0</v>
      </c>
      <c r="E105" s="45">
        <f>Arbejdsark!I113</f>
        <v>0</v>
      </c>
      <c r="F105" s="45">
        <f>Arbejdsark!J113</f>
        <v>0</v>
      </c>
      <c r="G105" s="45" t="e">
        <f>Arbejdsark!#REF!</f>
        <v>#REF!</v>
      </c>
      <c r="H105" s="45" t="e">
        <f>Arbejdsark!#REF!</f>
        <v>#REF!</v>
      </c>
      <c r="I105" s="45" t="str">
        <f>IF('Sortering af spørgsmål'!$C$22=Projektforudsætninger!$C$24,Arbejdsark!K356,"")</f>
        <v/>
      </c>
      <c r="J105" s="41" t="s">
        <v>9</v>
      </c>
      <c r="K105" s="41"/>
    </row>
    <row r="106" spans="1:21" ht="141.75" customHeight="1" x14ac:dyDescent="0.45">
      <c r="A106" s="45" t="str">
        <f>Arbejdsark!$A$300</f>
        <v>Plandisponering</v>
      </c>
      <c r="B106" s="43" t="str">
        <f>Arbejdsark!$B$361</f>
        <v>8.13</v>
      </c>
      <c r="C106" s="45" t="str">
        <f>IF('Sortering af spørgsmål'!$C$22=Projektforudsætninger!$C$24,Arbejdsark!C361,"")</f>
        <v/>
      </c>
      <c r="D106" s="46" t="str">
        <f>Arbejdsark!D114</f>
        <v>ECO2.1
Vægtning: ECO2.1 pkt 2</v>
      </c>
      <c r="E106" s="45" t="str">
        <f>Arbejdsark!I114</f>
        <v>x</v>
      </c>
      <c r="F106" s="45">
        <f>Arbejdsark!J114</f>
        <v>0</v>
      </c>
      <c r="G106" s="45" t="e">
        <f>Arbejdsark!#REF!</f>
        <v>#REF!</v>
      </c>
      <c r="H106" s="45" t="e">
        <f>Arbejdsark!#REF!</f>
        <v>#REF!</v>
      </c>
      <c r="I106" s="45" t="str">
        <f>IF('Sortering af spørgsmål'!$C$22=Projektforudsætninger!$C$24,Arbejdsark!K361,"")</f>
        <v/>
      </c>
      <c r="J106" s="41" t="s">
        <v>9</v>
      </c>
      <c r="K106" s="41"/>
    </row>
    <row r="107" spans="1:21" ht="99.4" customHeight="1" x14ac:dyDescent="0.45">
      <c r="A107" s="45" t="str">
        <f>Arbejdsark!$A$300</f>
        <v>Plandisponering</v>
      </c>
      <c r="B107" s="43" t="str">
        <f>Arbejdsark!$B$366</f>
        <v>8.14</v>
      </c>
      <c r="C107" s="45" t="str">
        <f>IF('Sortering af spørgsmål'!$C$22=Projektforudsætninger!$C$24,Arbejdsark!C366,"")</f>
        <v/>
      </c>
      <c r="D107" s="46"/>
      <c r="E107" s="45"/>
      <c r="F107" s="45"/>
      <c r="G107" s="45"/>
      <c r="H107" s="45"/>
      <c r="I107" s="45" t="str">
        <f>IF('Sortering af spørgsmål'!$C$22=Projektforudsætninger!$C$24,Arbejdsark!K366,"")</f>
        <v/>
      </c>
      <c r="J107" s="41" t="s">
        <v>9</v>
      </c>
      <c r="K107" s="41"/>
    </row>
    <row r="108" spans="1:21" ht="85.15" customHeight="1" x14ac:dyDescent="0.45">
      <c r="A108" s="45" t="str">
        <f>Arbejdsark!$A$300</f>
        <v>Plandisponering</v>
      </c>
      <c r="B108" s="43" t="str">
        <f>Arbejdsark!$B$371</f>
        <v>8.15</v>
      </c>
      <c r="C108" s="45" t="str">
        <f>IF('Sortering af spørgsmål'!$C$22=Projektforudsætninger!$C$24,Arbejdsark!C371,"")</f>
        <v/>
      </c>
      <c r="D108" s="46">
        <f>Arbejdsark!D115</f>
        <v>0</v>
      </c>
      <c r="E108" s="45">
        <f>Arbejdsark!I115</f>
        <v>0</v>
      </c>
      <c r="F108" s="45">
        <f>Arbejdsark!J115</f>
        <v>0</v>
      </c>
      <c r="G108" s="45" t="e">
        <f>Arbejdsark!#REF!</f>
        <v>#REF!</v>
      </c>
      <c r="H108" s="45" t="e">
        <f>Arbejdsark!#REF!</f>
        <v>#REF!</v>
      </c>
      <c r="I108" s="45" t="str">
        <f>IF('Sortering af spørgsmål'!$C$22=Projektforudsætninger!$C$24,Arbejdsark!K371,"")</f>
        <v/>
      </c>
      <c r="J108" s="41" t="s">
        <v>9</v>
      </c>
      <c r="K108" s="41"/>
    </row>
    <row r="109" spans="1:21" x14ac:dyDescent="0.45">
      <c r="A109" s="45"/>
      <c r="B109" s="45"/>
      <c r="C109" s="45"/>
      <c r="D109" s="46"/>
      <c r="E109" s="45"/>
      <c r="F109" s="45"/>
      <c r="G109" s="45"/>
      <c r="H109" s="45"/>
      <c r="I109" s="45"/>
      <c r="J109" s="47"/>
      <c r="K109" s="47"/>
    </row>
    <row r="110" spans="1:21" ht="28.5" customHeight="1" x14ac:dyDescent="0.45">
      <c r="A110" s="279" t="str">
        <f>Arbejdsark!$A$376</f>
        <v>TEKNISK KVALITET</v>
      </c>
      <c r="B110" s="274"/>
      <c r="C110" s="274"/>
      <c r="D110" s="274"/>
      <c r="E110" s="274"/>
      <c r="F110" s="274"/>
      <c r="G110" s="274"/>
      <c r="H110" s="274"/>
      <c r="I110" s="275"/>
      <c r="J110" s="276"/>
      <c r="K110" s="276"/>
    </row>
    <row r="111" spans="1:21" ht="28.5" customHeight="1" x14ac:dyDescent="0.45">
      <c r="A111" s="58" t="str">
        <f>$A$4</f>
        <v>Tema</v>
      </c>
      <c r="B111" s="58" t="str">
        <f t="shared" ref="B111" si="2">B4</f>
        <v>ID</v>
      </c>
      <c r="C111" s="58" t="str">
        <f>$C$4</f>
        <v>Emne</v>
      </c>
      <c r="D111" s="58" t="str">
        <f>D4</f>
        <v>DGNB kriterium</v>
      </c>
      <c r="E111" s="58" t="str">
        <f>E4</f>
        <v>Byggeudvalg eller Hovedbestyrelse</v>
      </c>
      <c r="F111" s="58" t="str">
        <f>F4</f>
        <v>Projektleder</v>
      </c>
      <c r="G111" s="58" t="str">
        <f>G4</f>
        <v>#REFERENCE!</v>
      </c>
      <c r="H111" s="58" t="str">
        <f>H4</f>
        <v>Ikon</v>
      </c>
      <c r="I111" s="58" t="str">
        <f>$I$4</f>
        <v>Spørgsmål</v>
      </c>
      <c r="J111" s="59" t="str">
        <f>$J$4</f>
        <v>Svar</v>
      </c>
      <c r="K111" s="59" t="str">
        <f>$K$4</f>
        <v>Uddybende kommentarer</v>
      </c>
    </row>
    <row r="112" spans="1:21" ht="28.5" customHeight="1" x14ac:dyDescent="0.45">
      <c r="A112" s="279" t="str">
        <f>Arbejdsark!$A$378</f>
        <v>Personsikkerhed</v>
      </c>
      <c r="B112" s="274">
        <v>1</v>
      </c>
      <c r="C112" s="274"/>
      <c r="D112" s="274"/>
      <c r="E112" s="274"/>
      <c r="F112" s="274"/>
      <c r="G112" s="274"/>
      <c r="H112" s="274"/>
      <c r="I112" s="275" t="str">
        <f>IF('Sortering af spørgsmål'!$C$23=Projektforudsætninger!$C$24,"Udfyld spørgsmål","Ingen spørgsmål")</f>
        <v>Ingen spørgsmål</v>
      </c>
      <c r="J112" s="276"/>
      <c r="K112" s="276"/>
    </row>
    <row r="113" spans="1:11" ht="99.4" customHeight="1" x14ac:dyDescent="0.45">
      <c r="A113" s="45" t="str">
        <f>Arbejdsark!$A$378</f>
        <v>Personsikkerhed</v>
      </c>
      <c r="B113" s="43" t="str">
        <f>Arbejdsark!$B$378</f>
        <v>1.1</v>
      </c>
      <c r="C113" s="45" t="str">
        <f>IF('Sortering af spørgsmål'!$C$23=Projektforudsætninger!$C$24,Arbejdsark!C378,"")</f>
        <v/>
      </c>
      <c r="D113" s="46">
        <f>Arbejdsark!D120</f>
        <v>0</v>
      </c>
      <c r="E113" s="45">
        <f>Arbejdsark!I120</f>
        <v>0</v>
      </c>
      <c r="F113" s="45">
        <f>Arbejdsark!J120</f>
        <v>0</v>
      </c>
      <c r="G113" s="45" t="e">
        <f>Arbejdsark!#REF!</f>
        <v>#REF!</v>
      </c>
      <c r="H113" s="45" t="e">
        <f>Arbejdsark!#REF!</f>
        <v>#REF!</v>
      </c>
      <c r="I113" s="45" t="str">
        <f>IF('Sortering af spørgsmål'!$C$23=Projektforudsætninger!$C$24,Arbejdsark!K378,"")</f>
        <v/>
      </c>
      <c r="J113" s="41" t="s">
        <v>9</v>
      </c>
      <c r="K113" s="41"/>
    </row>
    <row r="114" spans="1:11" ht="99.4" customHeight="1" x14ac:dyDescent="0.45">
      <c r="A114" s="45" t="str">
        <f>Arbejdsark!$A$378</f>
        <v>Personsikkerhed</v>
      </c>
      <c r="B114" s="43" t="str">
        <f>Arbejdsark!$B$383</f>
        <v>1.2</v>
      </c>
      <c r="C114" s="45" t="str">
        <f>IF('Sortering af spørgsmål'!$C$23=Projektforudsætninger!$C$24,Arbejdsark!C383,"")</f>
        <v/>
      </c>
      <c r="D114" s="46"/>
      <c r="E114" s="45"/>
      <c r="F114" s="45"/>
      <c r="G114" s="45"/>
      <c r="H114" s="45"/>
      <c r="I114" s="45" t="str">
        <f>IF('Sortering af spørgsmål'!$C$23=Projektforudsætninger!$C$24,Arbejdsark!K383,"")</f>
        <v/>
      </c>
      <c r="J114" s="41" t="s">
        <v>9</v>
      </c>
      <c r="K114" s="41"/>
    </row>
    <row r="115" spans="1:11" x14ac:dyDescent="0.45">
      <c r="A115" s="45"/>
      <c r="B115" s="45"/>
      <c r="C115" s="45"/>
      <c r="D115" s="46"/>
      <c r="E115" s="45"/>
      <c r="F115" s="45"/>
      <c r="G115" s="45"/>
      <c r="H115" s="45"/>
      <c r="I115" s="45"/>
      <c r="J115" s="47"/>
      <c r="K115" s="47"/>
    </row>
    <row r="116" spans="1:11" ht="28.5" customHeight="1" x14ac:dyDescent="0.45">
      <c r="A116" s="279" t="str">
        <f>Arbejdsark!$A$388</f>
        <v>Klimaskærmens kvalitet</v>
      </c>
      <c r="B116" s="274">
        <v>2</v>
      </c>
      <c r="C116" s="274"/>
      <c r="D116" s="274"/>
      <c r="E116" s="274"/>
      <c r="F116" s="274"/>
      <c r="G116" s="274"/>
      <c r="H116" s="274"/>
      <c r="I116" s="275" t="str">
        <f>IF('Sortering af spørgsmål'!$C$24=Projektforudsætninger!$C$24,"Udfyld spørgsmål","Ingen spørgsmål")</f>
        <v>Ingen spørgsmål</v>
      </c>
      <c r="J116" s="276"/>
      <c r="K116" s="276"/>
    </row>
    <row r="117" spans="1:11" ht="113.65" customHeight="1" x14ac:dyDescent="0.45">
      <c r="A117" s="45" t="str">
        <f>Arbejdsark!$A$388</f>
        <v>Klimaskærmens kvalitet</v>
      </c>
      <c r="B117" s="43" t="str">
        <f>Arbejdsark!$B$388</f>
        <v>2.1</v>
      </c>
      <c r="C117" s="45" t="str">
        <f>IF('Sortering af spørgsmål'!$C$24=Projektforudsætninger!$C$24,Arbejdsark!C388,"")</f>
        <v/>
      </c>
      <c r="D117" s="46">
        <f>Arbejdsark!D125</f>
        <v>0</v>
      </c>
      <c r="E117" s="45">
        <f>Arbejdsark!I125</f>
        <v>0</v>
      </c>
      <c r="F117" s="45">
        <f>Arbejdsark!J125</f>
        <v>0</v>
      </c>
      <c r="G117" s="45" t="e">
        <f>Arbejdsark!#REF!</f>
        <v>#REF!</v>
      </c>
      <c r="H117" s="45" t="e">
        <f>Arbejdsark!#REF!</f>
        <v>#REF!</v>
      </c>
      <c r="I117" s="45" t="str">
        <f>IF('Sortering af spørgsmål'!$C$24=Projektforudsætninger!$C$24,Arbejdsark!K388,"")</f>
        <v/>
      </c>
      <c r="J117" s="41" t="s">
        <v>9</v>
      </c>
      <c r="K117" s="41"/>
    </row>
    <row r="118" spans="1:11" ht="113.65" customHeight="1" x14ac:dyDescent="0.45">
      <c r="A118" s="45" t="str">
        <f>Arbejdsark!$A$388</f>
        <v>Klimaskærmens kvalitet</v>
      </c>
      <c r="B118" s="43" t="str">
        <f>Arbejdsark!$B$393</f>
        <v>2.2</v>
      </c>
      <c r="C118" s="45" t="str">
        <f>IF('Sortering af spørgsmål'!$C$24=Projektforudsætninger!$C$24,Arbejdsark!C393,"")</f>
        <v/>
      </c>
      <c r="D118" s="46">
        <f>Arbejdsark!D126</f>
        <v>0</v>
      </c>
      <c r="E118" s="45">
        <f>Arbejdsark!I126</f>
        <v>0</v>
      </c>
      <c r="F118" s="45">
        <f>Arbejdsark!J126</f>
        <v>0</v>
      </c>
      <c r="G118" s="45" t="e">
        <f>Arbejdsark!#REF!</f>
        <v>#REF!</v>
      </c>
      <c r="H118" s="45" t="e">
        <f>Arbejdsark!#REF!</f>
        <v>#REF!</v>
      </c>
      <c r="I118" s="45" t="str">
        <f>IF('Sortering af spørgsmål'!$C$24=Projektforudsætninger!$C$24,Arbejdsark!K393,"")</f>
        <v/>
      </c>
      <c r="J118" s="41" t="s">
        <v>9</v>
      </c>
      <c r="K118" s="41"/>
    </row>
    <row r="119" spans="1:11" ht="113.65" customHeight="1" x14ac:dyDescent="0.45">
      <c r="A119" s="45" t="str">
        <f>Arbejdsark!$A$388</f>
        <v>Klimaskærmens kvalitet</v>
      </c>
      <c r="B119" s="43" t="str">
        <f>Arbejdsark!$B$398</f>
        <v>2.3</v>
      </c>
      <c r="C119" s="45" t="str">
        <f>IF('Sortering af spørgsmål'!$C$24=Projektforudsætninger!$C$24,Arbejdsark!C398,"")</f>
        <v/>
      </c>
      <c r="D119" s="46">
        <f>Arbejdsark!D127</f>
        <v>0</v>
      </c>
      <c r="E119" s="45">
        <f>Arbejdsark!I127</f>
        <v>0</v>
      </c>
      <c r="F119" s="45">
        <f>Arbejdsark!J127</f>
        <v>0</v>
      </c>
      <c r="G119" s="45" t="e">
        <f>Arbejdsark!#REF!</f>
        <v>#REF!</v>
      </c>
      <c r="H119" s="45" t="e">
        <f>Arbejdsark!#REF!</f>
        <v>#REF!</v>
      </c>
      <c r="I119" s="45" t="str">
        <f>IF('Sortering af spørgsmål'!$C$24=Projektforudsætninger!$C$24,Arbejdsark!K398,"")</f>
        <v/>
      </c>
      <c r="J119" s="41" t="s">
        <v>9</v>
      </c>
      <c r="K119" s="41"/>
    </row>
    <row r="120" spans="1:11" ht="141.75" customHeight="1" x14ac:dyDescent="0.45">
      <c r="A120" s="45" t="str">
        <f>Arbejdsark!$A$388</f>
        <v>Klimaskærmens kvalitet</v>
      </c>
      <c r="B120" s="43" t="str">
        <f>Arbejdsark!$B$403</f>
        <v>2.4</v>
      </c>
      <c r="C120" s="45" t="str">
        <f>IF('Sortering af spørgsmål'!$C$24=Projektforudsætninger!$C$24,Arbejdsark!C403,"")</f>
        <v/>
      </c>
      <c r="D120" s="46">
        <f>Arbejdsark!D128</f>
        <v>0</v>
      </c>
      <c r="E120" s="45">
        <f>Arbejdsark!I128</f>
        <v>0</v>
      </c>
      <c r="F120" s="45">
        <f>Arbejdsark!J128</f>
        <v>0</v>
      </c>
      <c r="G120" s="45" t="e">
        <f>Arbejdsark!#REF!</f>
        <v>#REF!</v>
      </c>
      <c r="H120" s="45" t="e">
        <f>Arbejdsark!#REF!</f>
        <v>#REF!</v>
      </c>
      <c r="I120" s="45" t="str">
        <f>IF('Sortering af spørgsmål'!$C$24=Projektforudsætninger!$C$24,Arbejdsark!K403,"")</f>
        <v/>
      </c>
      <c r="J120" s="41" t="s">
        <v>9</v>
      </c>
      <c r="K120" s="41"/>
    </row>
    <row r="121" spans="1:11" ht="56.85" customHeight="1" x14ac:dyDescent="0.45">
      <c r="A121" s="45" t="str">
        <f>Arbejdsark!$A$388</f>
        <v>Klimaskærmens kvalitet</v>
      </c>
      <c r="B121" s="43" t="str">
        <f>Arbejdsark!$B$408</f>
        <v>2.5</v>
      </c>
      <c r="C121" s="45" t="str">
        <f>IF('Sortering af spørgsmål'!$C$24=Projektforudsætninger!$C$24,Arbejdsark!C408,"")</f>
        <v/>
      </c>
      <c r="D121" s="46"/>
      <c r="E121" s="45"/>
      <c r="F121" s="45"/>
      <c r="G121" s="45"/>
      <c r="H121" s="45"/>
      <c r="I121" s="45" t="str">
        <f>IF('Sortering af spørgsmål'!$C$24=Projektforudsætninger!$C$24,Arbejdsark!K408,"")</f>
        <v/>
      </c>
      <c r="J121" s="41" t="s">
        <v>9</v>
      </c>
      <c r="K121" s="41"/>
    </row>
    <row r="122" spans="1:11" ht="85.15" customHeight="1" x14ac:dyDescent="0.45">
      <c r="A122" s="45" t="str">
        <f>Arbejdsark!$A$388</f>
        <v>Klimaskærmens kvalitet</v>
      </c>
      <c r="B122" s="43" t="str">
        <f>Arbejdsark!$B$413</f>
        <v>2.6</v>
      </c>
      <c r="C122" s="45" t="str">
        <f>IF('Sortering af spørgsmål'!$C$24=Projektforudsætninger!$C$24,Arbejdsark!C413,"")</f>
        <v/>
      </c>
      <c r="D122" s="46" t="str">
        <f>Arbejdsark!D129</f>
        <v>ECO2.1
Vægtning: ECO2.1 pkt 5</v>
      </c>
      <c r="E122" s="45" t="str">
        <f>Arbejdsark!I129</f>
        <v>x</v>
      </c>
      <c r="F122" s="45">
        <f>Arbejdsark!J129</f>
        <v>0</v>
      </c>
      <c r="G122" s="45" t="e">
        <f>Arbejdsark!#REF!</f>
        <v>#REF!</v>
      </c>
      <c r="H122" s="45" t="e">
        <f>Arbejdsark!#REF!</f>
        <v>#REF!</v>
      </c>
      <c r="I122" s="45" t="str">
        <f>IF('Sortering af spørgsmål'!$C$24=Projektforudsætninger!$C$24,Arbejdsark!K413,"")</f>
        <v/>
      </c>
      <c r="J122" s="41" t="s">
        <v>9</v>
      </c>
      <c r="K122" s="41"/>
    </row>
    <row r="123" spans="1:11" ht="85.15" customHeight="1" x14ac:dyDescent="0.45">
      <c r="A123" s="45" t="str">
        <f>Arbejdsark!$A$388</f>
        <v>Klimaskærmens kvalitet</v>
      </c>
      <c r="B123" s="43" t="str">
        <f>Arbejdsark!$B$418</f>
        <v>2.7</v>
      </c>
      <c r="C123" s="45" t="str">
        <f>IF('Sortering af spørgsmål'!$C$24=Projektforudsætninger!$C$24,Arbejdsark!C418,"")</f>
        <v/>
      </c>
      <c r="D123" s="46">
        <f>Arbejdsark!D130</f>
        <v>0</v>
      </c>
      <c r="E123" s="45">
        <f>Arbejdsark!I130</f>
        <v>0</v>
      </c>
      <c r="F123" s="45">
        <f>Arbejdsark!J130</f>
        <v>0</v>
      </c>
      <c r="G123" s="45" t="e">
        <f>Arbejdsark!#REF!</f>
        <v>#REF!</v>
      </c>
      <c r="H123" s="45" t="e">
        <f>Arbejdsark!#REF!</f>
        <v>#REF!</v>
      </c>
      <c r="I123" s="45" t="str">
        <f>IF('Sortering af spørgsmål'!$C$24=Projektforudsætninger!$C$24,Arbejdsark!K418,"")</f>
        <v/>
      </c>
      <c r="J123" s="41" t="s">
        <v>9</v>
      </c>
      <c r="K123" s="41"/>
    </row>
    <row r="124" spans="1:11" x14ac:dyDescent="0.45">
      <c r="A124" s="45"/>
      <c r="B124" s="45"/>
      <c r="C124" s="45"/>
      <c r="D124" s="46"/>
      <c r="E124" s="45"/>
      <c r="F124" s="45"/>
      <c r="G124" s="45"/>
      <c r="H124" s="45"/>
      <c r="I124" s="45"/>
      <c r="J124" s="47"/>
      <c r="K124" s="47"/>
    </row>
    <row r="125" spans="1:11" ht="28.5" customHeight="1" x14ac:dyDescent="0.45">
      <c r="A125" s="279" t="str">
        <f>Arbejdsark!$A$424</f>
        <v>Renhold og vedligehold</v>
      </c>
      <c r="B125" s="274">
        <v>3</v>
      </c>
      <c r="C125" s="274"/>
      <c r="D125" s="274"/>
      <c r="E125" s="274"/>
      <c r="F125" s="274"/>
      <c r="G125" s="274"/>
      <c r="H125" s="274"/>
      <c r="I125" s="275" t="str">
        <f>IF('Sortering af spørgsmål'!$C$25=Projektforudsætninger!$C$24,"Udfyld spørgsmål","Ingen spørgsmål")</f>
        <v>Ingen spørgsmål</v>
      </c>
      <c r="J125" s="276"/>
      <c r="K125" s="276"/>
    </row>
    <row r="126" spans="1:11" ht="113.65" customHeight="1" x14ac:dyDescent="0.45">
      <c r="A126" s="45" t="str">
        <f>Arbejdsark!$A$424</f>
        <v>Renhold og vedligehold</v>
      </c>
      <c r="B126" s="43" t="str">
        <f>Arbejdsark!$B$424</f>
        <v>3.1</v>
      </c>
      <c r="C126" s="45" t="str">
        <f>IF('Sortering af spørgsmål'!$C$25=Projektforudsætninger!$C$24,Arbejdsark!C424,"")</f>
        <v/>
      </c>
      <c r="D126" s="46" t="str">
        <f>Arbejdsark!D134</f>
        <v>ECO2.1
Vægtning: 75% af ECO2.1 pkt 6</v>
      </c>
      <c r="E126" s="45" t="str">
        <f>Arbejdsark!I134</f>
        <v>x</v>
      </c>
      <c r="F126" s="45">
        <f>Arbejdsark!J134</f>
        <v>0</v>
      </c>
      <c r="G126" s="45" t="e">
        <f>Arbejdsark!#REF!</f>
        <v>#REF!</v>
      </c>
      <c r="H126" s="45" t="e">
        <f>Arbejdsark!#REF!</f>
        <v>#REF!</v>
      </c>
      <c r="I126" s="45" t="str">
        <f>IF('Sortering af spørgsmål'!$C$25=Projektforudsætninger!$C$24,Arbejdsark!K424,"")</f>
        <v/>
      </c>
      <c r="J126" s="41" t="s">
        <v>9</v>
      </c>
      <c r="K126" s="41"/>
    </row>
    <row r="127" spans="1:11" ht="113.65" customHeight="1" x14ac:dyDescent="0.45">
      <c r="A127" s="45" t="str">
        <f>Arbejdsark!$A$424</f>
        <v>Renhold og vedligehold</v>
      </c>
      <c r="B127" s="43" t="str">
        <f>Arbejdsark!$B$429</f>
        <v>3.2</v>
      </c>
      <c r="C127" s="45" t="str">
        <f>IF('Sortering af spørgsmål'!$C$25=Projektforudsætninger!$C$24,Arbejdsark!C429,"")</f>
        <v/>
      </c>
      <c r="D127" s="46">
        <f>Arbejdsark!D135</f>
        <v>0</v>
      </c>
      <c r="E127" s="45">
        <f>Arbejdsark!I135</f>
        <v>0</v>
      </c>
      <c r="F127" s="45">
        <f>Arbejdsark!J135</f>
        <v>0</v>
      </c>
      <c r="G127" s="45" t="e">
        <f>Arbejdsark!#REF!</f>
        <v>#REF!</v>
      </c>
      <c r="H127" s="45" t="e">
        <f>Arbejdsark!#REF!</f>
        <v>#REF!</v>
      </c>
      <c r="I127" s="45" t="str">
        <f>IF('Sortering af spørgsmål'!$C$25=Projektforudsætninger!$C$24,Arbejdsark!K429,"")</f>
        <v/>
      </c>
      <c r="J127" s="41" t="s">
        <v>9</v>
      </c>
      <c r="K127" s="41"/>
    </row>
    <row r="128" spans="1:11" ht="156" customHeight="1" x14ac:dyDescent="0.45">
      <c r="A128" s="45" t="str">
        <f>Arbejdsark!$A$424</f>
        <v>Renhold og vedligehold</v>
      </c>
      <c r="B128" s="43" t="str">
        <f>Arbejdsark!$B$434</f>
        <v>3.3</v>
      </c>
      <c r="C128" s="45" t="str">
        <f>IF('Sortering af spørgsmål'!$C$25=Projektforudsætninger!$C$24,Arbejdsark!C434,"")</f>
        <v/>
      </c>
      <c r="D128" s="46">
        <f>Arbejdsark!D136</f>
        <v>0</v>
      </c>
      <c r="E128" s="45">
        <f>Arbejdsark!I136</f>
        <v>0</v>
      </c>
      <c r="F128" s="45">
        <f>Arbejdsark!J136</f>
        <v>0</v>
      </c>
      <c r="G128" s="45" t="e">
        <f>Arbejdsark!#REF!</f>
        <v>#REF!</v>
      </c>
      <c r="H128" s="45" t="e">
        <f>Arbejdsark!#REF!</f>
        <v>#REF!</v>
      </c>
      <c r="I128" s="45" t="str">
        <f>IF('Sortering af spørgsmål'!$C$25=Projektforudsætninger!$C$24,Arbejdsark!K434,"")</f>
        <v/>
      </c>
      <c r="J128" s="41" t="s">
        <v>9</v>
      </c>
      <c r="K128" s="41"/>
    </row>
    <row r="129" spans="1:11" ht="99.4" customHeight="1" x14ac:dyDescent="0.45">
      <c r="A129" s="45" t="str">
        <f>Arbejdsark!$A$424</f>
        <v>Renhold og vedligehold</v>
      </c>
      <c r="B129" s="43" t="str">
        <f>Arbejdsark!$B$439</f>
        <v>3.4</v>
      </c>
      <c r="C129" s="45" t="str">
        <f>IF('Sortering af spørgsmål'!$C$25=Projektforudsætninger!$C$24,Arbejdsark!C439,"")</f>
        <v/>
      </c>
      <c r="D129" s="46">
        <f>Arbejdsark!D137</f>
        <v>0</v>
      </c>
      <c r="E129" s="45">
        <f>Arbejdsark!I137</f>
        <v>0</v>
      </c>
      <c r="F129" s="45">
        <f>Arbejdsark!J137</f>
        <v>0</v>
      </c>
      <c r="G129" s="45" t="e">
        <f>Arbejdsark!#REF!</f>
        <v>#REF!</v>
      </c>
      <c r="H129" s="45" t="e">
        <f>Arbejdsark!#REF!</f>
        <v>#REF!</v>
      </c>
      <c r="I129" s="45" t="str">
        <f>IF('Sortering af spørgsmål'!$C$25=Projektforudsætninger!$C$24,Arbejdsark!K439,"")</f>
        <v/>
      </c>
      <c r="J129" s="41" t="s">
        <v>9</v>
      </c>
      <c r="K129" s="41"/>
    </row>
    <row r="130" spans="1:11" ht="141.75" customHeight="1" x14ac:dyDescent="0.45">
      <c r="A130" s="45" t="str">
        <f>Arbejdsark!$A$424</f>
        <v>Renhold og vedligehold</v>
      </c>
      <c r="B130" s="43" t="str">
        <f>Arbejdsark!$B$444</f>
        <v>3.5</v>
      </c>
      <c r="C130" s="45" t="str">
        <f>IF('Sortering af spørgsmål'!$C$25=Projektforudsætninger!$C$24,Arbejdsark!C444,"")</f>
        <v/>
      </c>
      <c r="D130" s="46">
        <f>Arbejdsark!D138</f>
        <v>0</v>
      </c>
      <c r="E130" s="45">
        <f>Arbejdsark!I138</f>
        <v>0</v>
      </c>
      <c r="F130" s="45">
        <f>Arbejdsark!J138</f>
        <v>0</v>
      </c>
      <c r="G130" s="45" t="e">
        <f>Arbejdsark!#REF!</f>
        <v>#REF!</v>
      </c>
      <c r="H130" s="45" t="e">
        <f>Arbejdsark!#REF!</f>
        <v>#REF!</v>
      </c>
      <c r="I130" s="45" t="str">
        <f>IF('Sortering af spørgsmål'!$C$25=Projektforudsætninger!$C$24,Arbejdsark!K444,"")</f>
        <v/>
      </c>
      <c r="J130" s="41" t="s">
        <v>9</v>
      </c>
      <c r="K130" s="41"/>
    </row>
    <row r="131" spans="1:11" ht="98.25" customHeight="1" x14ac:dyDescent="0.45">
      <c r="A131" s="45" t="str">
        <f>Arbejdsark!$A$424</f>
        <v>Renhold og vedligehold</v>
      </c>
      <c r="B131" s="43" t="str">
        <f>Arbejdsark!$B$449</f>
        <v>3.6</v>
      </c>
      <c r="C131" s="45" t="str">
        <f>IF('Sortering af spørgsmål'!$C$25=Projektforudsætninger!$C$24,Arbejdsark!C449,"")</f>
        <v/>
      </c>
      <c r="D131" s="46" t="str">
        <f>Arbejdsark!D139</f>
        <v>ECO2.1 + TEC1.4
Vægtning: ECO2.1 pkt. 7.1, 7.2 og 7.3 + TEC1.4 pkt. 1.1, 1.2 og 1.3</v>
      </c>
      <c r="E131" s="45" t="str">
        <f>Arbejdsark!I139</f>
        <v>x</v>
      </c>
      <c r="F131" s="45">
        <f>Arbejdsark!J139</f>
        <v>0</v>
      </c>
      <c r="G131" s="45" t="e">
        <f>Arbejdsark!#REF!</f>
        <v>#REF!</v>
      </c>
      <c r="H131" s="45" t="e">
        <f>Arbejdsark!#REF!</f>
        <v>#REF!</v>
      </c>
      <c r="I131" s="45" t="str">
        <f>IF('Sortering af spørgsmål'!$C$25=Projektforudsætninger!$C$24,Arbejdsark!K449,"")</f>
        <v/>
      </c>
      <c r="J131" s="41" t="s">
        <v>9</v>
      </c>
      <c r="K131" s="41"/>
    </row>
    <row r="132" spans="1:11" x14ac:dyDescent="0.45">
      <c r="A132" s="323" t="str">
        <f>Arbejdsark!$A$455</f>
        <v>Idriftsættelse</v>
      </c>
      <c r="B132" s="313">
        <v>4</v>
      </c>
      <c r="C132" s="323"/>
      <c r="D132" s="323"/>
      <c r="E132" s="323"/>
      <c r="F132" s="323"/>
      <c r="G132" s="323"/>
      <c r="H132" s="323"/>
      <c r="I132" s="313" t="str">
        <f>IF('Sortering af spørgsmål'!$C$33=Projektforudsætninger!$C$24,"Udfyld spørgsmål","Ingen spørgsmål")</f>
        <v>Ingen spørgsmål</v>
      </c>
      <c r="J132" s="314"/>
      <c r="K132" s="314"/>
    </row>
    <row r="133" spans="1:11" ht="98.25" customHeight="1" x14ac:dyDescent="0.45">
      <c r="A133" s="45" t="str">
        <f>Arbejdsark!$A$455</f>
        <v>Idriftsættelse</v>
      </c>
      <c r="B133" s="327" t="str">
        <f>Arbejdsark!$B$455</f>
        <v>4.1</v>
      </c>
      <c r="C133" s="45" t="str">
        <f>IF('Sortering af spørgsmål'!$C$33=Projektforudsætninger!$C$24,Arbejdsark!C455,"")</f>
        <v/>
      </c>
      <c r="D133" s="46" t="str">
        <f>Arbejdsark!D167</f>
        <v>SOC1.1
Vægtning: SOC1.1 pkt. 1 + 4</v>
      </c>
      <c r="E133" s="45" t="str">
        <f>Arbejdsark!I167</f>
        <v>x</v>
      </c>
      <c r="F133" s="45">
        <f>Arbejdsark!J167</f>
        <v>0</v>
      </c>
      <c r="G133" s="45" t="e">
        <f>Arbejdsark!#REF!</f>
        <v>#REF!</v>
      </c>
      <c r="H133" s="45" t="e">
        <f>Arbejdsark!#REF!</f>
        <v>#REF!</v>
      </c>
      <c r="I133" s="45" t="str">
        <f>IF('Sortering af spørgsmål'!$C$33=Projektforudsætninger!$C$24,Arbejdsark!K455,"")</f>
        <v/>
      </c>
      <c r="J133" s="41" t="s">
        <v>9</v>
      </c>
      <c r="K133" s="41"/>
    </row>
    <row r="134" spans="1:11" x14ac:dyDescent="0.45">
      <c r="A134" s="45"/>
      <c r="B134" s="319"/>
      <c r="C134" s="45"/>
      <c r="D134" s="46"/>
      <c r="E134" s="45"/>
      <c r="F134" s="45"/>
      <c r="G134" s="45"/>
      <c r="H134" s="45"/>
      <c r="I134" s="45"/>
      <c r="J134" s="47"/>
      <c r="K134" s="47"/>
    </row>
    <row r="135" spans="1:11" ht="28.5" customHeight="1" x14ac:dyDescent="0.45">
      <c r="A135" s="268" t="str">
        <f>Arbejdsark!$A$460</f>
        <v>PROCES KVALITET</v>
      </c>
      <c r="B135" s="328"/>
      <c r="C135" s="62"/>
      <c r="D135" s="62"/>
      <c r="E135" s="62"/>
      <c r="F135" s="62"/>
      <c r="G135" s="62"/>
      <c r="H135" s="62"/>
      <c r="I135" s="63"/>
      <c r="J135" s="64"/>
      <c r="K135" s="64"/>
    </row>
    <row r="136" spans="1:11" ht="28.5" customHeight="1" x14ac:dyDescent="0.45">
      <c r="A136" s="58" t="str">
        <f>$A$4</f>
        <v>Tema</v>
      </c>
      <c r="B136" s="319" t="str">
        <f>B4</f>
        <v>ID</v>
      </c>
      <c r="C136" s="58" t="str">
        <f>$C$4</f>
        <v>Emne</v>
      </c>
      <c r="D136" s="58" t="str">
        <f>D4</f>
        <v>DGNB kriterium</v>
      </c>
      <c r="E136" s="58" t="str">
        <f>E4</f>
        <v>Byggeudvalg eller Hovedbestyrelse</v>
      </c>
      <c r="F136" s="58" t="str">
        <f>F4</f>
        <v>Projektleder</v>
      </c>
      <c r="G136" s="58" t="str">
        <f>G4</f>
        <v>#REFERENCE!</v>
      </c>
      <c r="H136" s="58" t="str">
        <f>H4</f>
        <v>Ikon</v>
      </c>
      <c r="I136" s="58" t="str">
        <f>$I$4</f>
        <v>Spørgsmål</v>
      </c>
      <c r="J136" s="59" t="str">
        <f>$J$4</f>
        <v>Svar</v>
      </c>
      <c r="K136" s="59" t="str">
        <f>$K$4</f>
        <v>Uddybende kommentarer</v>
      </c>
    </row>
    <row r="137" spans="1:11" ht="28.5" customHeight="1" x14ac:dyDescent="0.45">
      <c r="A137" s="268" t="str">
        <f>Arbejdsark!$A$462</f>
        <v>Byggeprogram</v>
      </c>
      <c r="B137" s="328">
        <v>1</v>
      </c>
      <c r="C137" s="62"/>
      <c r="D137" s="62"/>
      <c r="E137" s="62"/>
      <c r="F137" s="62"/>
      <c r="G137" s="62"/>
      <c r="H137" s="62"/>
      <c r="I137" s="63" t="str">
        <f>IF('Sortering af spørgsmål'!$C$26=Projektforudsætninger!$C$24,"Udfyld spørgsmål","Ingen spørgsmål")</f>
        <v>Ingen spørgsmål</v>
      </c>
      <c r="J137" s="64"/>
      <c r="K137" s="64"/>
    </row>
    <row r="138" spans="1:11" ht="113.65" customHeight="1" x14ac:dyDescent="0.45">
      <c r="A138" s="45" t="str">
        <f>Arbejdsark!$A$462</f>
        <v>Byggeprogram</v>
      </c>
      <c r="B138" s="327" t="str">
        <f>Arbejdsark!$B$462</f>
        <v>1.1</v>
      </c>
      <c r="C138" s="45" t="str">
        <f>IF('Sortering af spørgsmål'!$C$26=Projektforudsætninger!$C$24,Arbejdsark!C462,"")</f>
        <v/>
      </c>
      <c r="D138" s="46">
        <f>Arbejdsark!D145</f>
        <v>0</v>
      </c>
      <c r="E138" s="45">
        <f>Arbejdsark!I145</f>
        <v>0</v>
      </c>
      <c r="F138" s="45">
        <f>Arbejdsark!J145</f>
        <v>0</v>
      </c>
      <c r="G138" s="45" t="e">
        <f>Arbejdsark!#REF!</f>
        <v>#REF!</v>
      </c>
      <c r="H138" s="45" t="e">
        <f>Arbejdsark!#REF!</f>
        <v>#REF!</v>
      </c>
      <c r="I138" s="45" t="str">
        <f>IF('Sortering af spørgsmål'!$C$26=Projektforudsætninger!$C$24,Arbejdsark!K462,"")</f>
        <v/>
      </c>
      <c r="J138" s="41" t="s">
        <v>9</v>
      </c>
      <c r="K138" s="41"/>
    </row>
    <row r="139" spans="1:11" x14ac:dyDescent="0.45">
      <c r="A139" s="45"/>
      <c r="B139" s="319"/>
      <c r="C139" s="45"/>
      <c r="D139" s="46"/>
      <c r="E139" s="45"/>
      <c r="F139" s="45"/>
      <c r="G139" s="45"/>
      <c r="H139" s="45"/>
      <c r="I139" s="45"/>
      <c r="J139" s="47"/>
      <c r="K139" s="47"/>
    </row>
    <row r="140" spans="1:11" ht="28.5" customHeight="1" x14ac:dyDescent="0.45">
      <c r="A140" s="268" t="str">
        <f>Arbejdsark!$A$467</f>
        <v>Integreret designproces</v>
      </c>
      <c r="B140" s="328">
        <v>2</v>
      </c>
      <c r="C140" s="62"/>
      <c r="D140" s="62"/>
      <c r="E140" s="62"/>
      <c r="F140" s="62"/>
      <c r="G140" s="62"/>
      <c r="H140" s="62"/>
      <c r="I140" s="63" t="str">
        <f>IF('Sortering af spørgsmål'!$C$27=Projektforudsætninger!$C$24,"Udfyld spørgsmål","Ingen spørgsmål")</f>
        <v>Ingen spørgsmål</v>
      </c>
      <c r="J140" s="64"/>
      <c r="K140" s="64"/>
    </row>
    <row r="141" spans="1:11" ht="70.900000000000006" customHeight="1" x14ac:dyDescent="0.45">
      <c r="A141" s="45" t="str">
        <f>Arbejdsark!$A$467</f>
        <v>Integreret designproces</v>
      </c>
      <c r="B141" s="327" t="str">
        <f>Arbejdsark!$B$467</f>
        <v>2.1</v>
      </c>
      <c r="C141" s="45" t="str">
        <f>IF('Sortering af spørgsmål'!$C$27=Projektforudsætninger!$C$24,Arbejdsark!C467,"")</f>
        <v/>
      </c>
      <c r="D141" s="46">
        <f>Arbejdsark!D147</f>
        <v>0</v>
      </c>
      <c r="E141" s="45">
        <f>Arbejdsark!I147</f>
        <v>0</v>
      </c>
      <c r="F141" s="45">
        <f>Arbejdsark!J147</f>
        <v>0</v>
      </c>
      <c r="G141" s="45" t="e">
        <f>Arbejdsark!#REF!</f>
        <v>#REF!</v>
      </c>
      <c r="H141" s="45" t="e">
        <f>Arbejdsark!#REF!</f>
        <v>#REF!</v>
      </c>
      <c r="I141" s="45" t="str">
        <f>IF('Sortering af spørgsmål'!$C$27=Projektforudsætninger!$C$24,Arbejdsark!K467,"")</f>
        <v/>
      </c>
      <c r="J141" s="41" t="s">
        <v>9</v>
      </c>
      <c r="K141" s="41"/>
    </row>
    <row r="142" spans="1:11" ht="113.65" customHeight="1" x14ac:dyDescent="0.45">
      <c r="A142" s="45" t="str">
        <f>Arbejdsark!$A$467</f>
        <v>Integreret designproces</v>
      </c>
      <c r="B142" s="327" t="str">
        <f>Arbejdsark!$B$472</f>
        <v>2.2</v>
      </c>
      <c r="C142" s="45" t="str">
        <f>IF('Sortering af spørgsmål'!$C$27=Projektforudsætninger!$C$24,Arbejdsark!C472,"")</f>
        <v/>
      </c>
      <c r="D142" s="46">
        <f>Arbejdsark!D148</f>
        <v>0</v>
      </c>
      <c r="E142" s="45">
        <f>Arbejdsark!I148</f>
        <v>0</v>
      </c>
      <c r="F142" s="45">
        <f>Arbejdsark!J148</f>
        <v>0</v>
      </c>
      <c r="G142" s="45" t="e">
        <f>Arbejdsark!#REF!</f>
        <v>#REF!</v>
      </c>
      <c r="H142" s="45" t="e">
        <f>Arbejdsark!#REF!</f>
        <v>#REF!</v>
      </c>
      <c r="I142" s="45" t="str">
        <f>IF('Sortering af spørgsmål'!$C$27=Projektforudsætninger!$C$24,Arbejdsark!K472,"")</f>
        <v/>
      </c>
      <c r="J142" s="41" t="s">
        <v>9</v>
      </c>
      <c r="K142" s="41"/>
    </row>
    <row r="143" spans="1:11" ht="85.15" customHeight="1" x14ac:dyDescent="0.45">
      <c r="A143" s="45" t="str">
        <f>Arbejdsark!$A$467</f>
        <v>Integreret designproces</v>
      </c>
      <c r="B143" s="327" t="str">
        <f>Arbejdsark!$B$477</f>
        <v>2.3</v>
      </c>
      <c r="C143" s="45" t="str">
        <f>IF('Sortering af spørgsmål'!$C$27=Projektforudsætninger!$C$24,Arbejdsark!C477,"")</f>
        <v/>
      </c>
      <c r="D143" s="46" t="str">
        <f>Arbejdsark!D149</f>
        <v>ECO2.1
Vægtning: 25 % af ECO2.1 pkt. 6</v>
      </c>
      <c r="E143" s="45" t="str">
        <f>Arbejdsark!I149</f>
        <v>x</v>
      </c>
      <c r="F143" s="45">
        <f>Arbejdsark!J149</f>
        <v>0</v>
      </c>
      <c r="G143" s="45" t="e">
        <f>Arbejdsark!#REF!</f>
        <v>#REF!</v>
      </c>
      <c r="H143" s="45" t="e">
        <f>Arbejdsark!#REF!</f>
        <v>#REF!</v>
      </c>
      <c r="I143" s="45" t="str">
        <f>IF('Sortering af spørgsmål'!$C$27=Projektforudsætninger!$C$24,Arbejdsark!K477,"")</f>
        <v/>
      </c>
      <c r="J143" s="41" t="s">
        <v>9</v>
      </c>
      <c r="K143" s="41"/>
    </row>
    <row r="144" spans="1:11" ht="85.15" customHeight="1" x14ac:dyDescent="0.45">
      <c r="A144" s="45" t="str">
        <f>Arbejdsark!$A$467</f>
        <v>Integreret designproces</v>
      </c>
      <c r="B144" s="327" t="str">
        <f>Arbejdsark!$B$482</f>
        <v>2.4</v>
      </c>
      <c r="C144" s="45" t="str">
        <f>IF('Sortering af spørgsmål'!$C$27=Projektforudsætninger!$C$24,Arbejdsark!C482,"")</f>
        <v/>
      </c>
      <c r="D144" s="46">
        <f>Arbejdsark!D150</f>
        <v>0</v>
      </c>
      <c r="E144" s="45">
        <f>Arbejdsark!I150</f>
        <v>0</v>
      </c>
      <c r="F144" s="45">
        <f>Arbejdsark!J150</f>
        <v>0</v>
      </c>
      <c r="G144" s="45" t="e">
        <f>Arbejdsark!#REF!</f>
        <v>#REF!</v>
      </c>
      <c r="H144" s="45" t="e">
        <f>Arbejdsark!#REF!</f>
        <v>#REF!</v>
      </c>
      <c r="I144" s="45" t="str">
        <f>IF('Sortering af spørgsmål'!$C$27=Projektforudsætninger!$C$24,Arbejdsark!K482,"")</f>
        <v/>
      </c>
      <c r="J144" s="41" t="s">
        <v>9</v>
      </c>
      <c r="K144" s="41"/>
    </row>
    <row r="145" spans="1:11" ht="85.15" customHeight="1" x14ac:dyDescent="0.45">
      <c r="A145" s="45" t="str">
        <f>Arbejdsark!$A$467</f>
        <v>Integreret designproces</v>
      </c>
      <c r="B145" s="327" t="str">
        <f>Arbejdsark!$B$487</f>
        <v>2.5</v>
      </c>
      <c r="C145" s="45" t="str">
        <f>IF('Sortering af spørgsmål'!$C$27=Projektforudsætninger!$C$24,Arbejdsark!C487,"")</f>
        <v/>
      </c>
      <c r="D145" s="46">
        <f>Arbejdsark!D151</f>
        <v>0</v>
      </c>
      <c r="E145" s="45">
        <f>Arbejdsark!I151</f>
        <v>0</v>
      </c>
      <c r="F145" s="45">
        <f>Arbejdsark!J151</f>
        <v>0</v>
      </c>
      <c r="G145" s="45" t="e">
        <f>Arbejdsark!#REF!</f>
        <v>#REF!</v>
      </c>
      <c r="H145" s="45" t="e">
        <f>Arbejdsark!#REF!</f>
        <v>#REF!</v>
      </c>
      <c r="I145" s="45" t="str">
        <f>IF('Sortering af spørgsmål'!$C$27=Projektforudsætninger!$C$24,Arbejdsark!K487,"")</f>
        <v/>
      </c>
      <c r="J145" s="41" t="s">
        <v>9</v>
      </c>
      <c r="K145" s="41"/>
    </row>
    <row r="146" spans="1:11" x14ac:dyDescent="0.45">
      <c r="A146" s="45"/>
      <c r="B146" s="319"/>
      <c r="C146" s="45"/>
      <c r="D146" s="46"/>
      <c r="E146" s="45"/>
      <c r="F146" s="45"/>
      <c r="G146" s="45"/>
      <c r="H146" s="45"/>
      <c r="I146" s="45"/>
      <c r="J146" s="47"/>
      <c r="K146" s="47"/>
    </row>
    <row r="147" spans="1:11" ht="28.5" customHeight="1" x14ac:dyDescent="0.45">
      <c r="A147" s="268" t="str">
        <f>Arbejdsark!$A$492</f>
        <v>Koncepter</v>
      </c>
      <c r="B147" s="328">
        <v>3</v>
      </c>
      <c r="C147" s="62"/>
      <c r="D147" s="62"/>
      <c r="E147" s="62"/>
      <c r="F147" s="62"/>
      <c r="G147" s="62"/>
      <c r="H147" s="62"/>
      <c r="I147" s="63" t="str">
        <f>IF('Sortering af spørgsmål'!$C$28=Projektforudsætninger!$C$24,"Udfyld spørgsmål","Ingen spørgsmål")</f>
        <v>Ingen spørgsmål</v>
      </c>
      <c r="J147" s="64"/>
      <c r="K147" s="64"/>
    </row>
    <row r="148" spans="1:11" ht="170.25" customHeight="1" x14ac:dyDescent="0.45">
      <c r="A148" s="45" t="str">
        <f>Arbejdsark!$A$492</f>
        <v>Koncepter</v>
      </c>
      <c r="B148" s="327" t="str">
        <f>Arbejdsark!$B$492</f>
        <v>3.1</v>
      </c>
      <c r="C148" s="45" t="str">
        <f>IF('Sortering af spørgsmål'!$C$28=Projektforudsætninger!$C$24,Arbejdsark!C492,"")</f>
        <v/>
      </c>
      <c r="D148" s="46">
        <f>Arbejdsark!D152</f>
        <v>0</v>
      </c>
      <c r="E148" s="45">
        <f>Arbejdsark!I152</f>
        <v>0</v>
      </c>
      <c r="F148" s="45">
        <f>Arbejdsark!J152</f>
        <v>0</v>
      </c>
      <c r="G148" s="45" t="e">
        <f>Arbejdsark!#REF!</f>
        <v>#REF!</v>
      </c>
      <c r="H148" s="45" t="e">
        <f>Arbejdsark!#REF!</f>
        <v>#REF!</v>
      </c>
      <c r="I148" s="45" t="str">
        <f>IF('Sortering af spørgsmål'!$C$28=Projektforudsætninger!$C$24,Arbejdsark!K492,"")</f>
        <v/>
      </c>
      <c r="J148" s="41" t="s">
        <v>9</v>
      </c>
      <c r="K148" s="41"/>
    </row>
    <row r="149" spans="1:11" x14ac:dyDescent="0.45">
      <c r="A149" s="45"/>
      <c r="B149" s="319"/>
      <c r="C149" s="45"/>
      <c r="D149" s="46"/>
      <c r="E149" s="45"/>
      <c r="F149" s="45"/>
      <c r="G149" s="45"/>
      <c r="H149" s="45"/>
      <c r="I149" s="45"/>
      <c r="J149" s="47"/>
      <c r="K149" s="47"/>
    </row>
    <row r="150" spans="1:11" ht="28.5" customHeight="1" x14ac:dyDescent="0.45">
      <c r="A150" s="268" t="str">
        <f>Arbejdsark!$A$497</f>
        <v>Entrepriseudbud</v>
      </c>
      <c r="B150" s="328">
        <v>4</v>
      </c>
      <c r="C150" s="62"/>
      <c r="D150" s="62"/>
      <c r="E150" s="62"/>
      <c r="F150" s="62"/>
      <c r="G150" s="62"/>
      <c r="H150" s="62"/>
      <c r="I150" s="63" t="str">
        <f>IF('Sortering af spørgsmål'!$C$29=Projektforudsætninger!$C$24,"Udfyld spørgsmål","Ingen spørgsmål")</f>
        <v>Ingen spørgsmål</v>
      </c>
      <c r="J150" s="64"/>
      <c r="K150" s="64"/>
    </row>
    <row r="151" spans="1:11" ht="85.15" customHeight="1" x14ac:dyDescent="0.45">
      <c r="A151" s="45" t="str">
        <f>Arbejdsark!$A$497</f>
        <v>Entrepriseudbud</v>
      </c>
      <c r="B151" s="327" t="str">
        <f>Arbejdsark!$B$497</f>
        <v>4.1</v>
      </c>
      <c r="C151" s="45" t="str">
        <f>IF('Sortering af spørgsmål'!$C$29=Projektforudsætninger!$C$24,Arbejdsark!C497,"")</f>
        <v/>
      </c>
      <c r="D151" s="46">
        <f>Arbejdsark!D157</f>
        <v>0</v>
      </c>
      <c r="E151" s="45">
        <f>Arbejdsark!I157</f>
        <v>0</v>
      </c>
      <c r="F151" s="45">
        <f>Arbejdsark!J157</f>
        <v>0</v>
      </c>
      <c r="G151" s="45" t="e">
        <f>Arbejdsark!#REF!</f>
        <v>#REF!</v>
      </c>
      <c r="H151" s="45" t="e">
        <f>Arbejdsark!#REF!</f>
        <v>#REF!</v>
      </c>
      <c r="I151" s="45" t="str">
        <f>IF('Sortering af spørgsmål'!$C$29=Projektforudsætninger!$C$24,Arbejdsark!K497,"")</f>
        <v/>
      </c>
      <c r="J151" s="41" t="s">
        <v>9</v>
      </c>
      <c r="K151" s="41"/>
    </row>
    <row r="152" spans="1:11" x14ac:dyDescent="0.45">
      <c r="A152" s="45"/>
      <c r="B152" s="319"/>
      <c r="C152" s="45"/>
      <c r="D152" s="46"/>
      <c r="E152" s="45"/>
      <c r="F152" s="45"/>
      <c r="G152" s="45"/>
      <c r="H152" s="45"/>
      <c r="I152" s="45"/>
      <c r="J152" s="47"/>
      <c r="K152" s="47"/>
    </row>
    <row r="153" spans="1:11" ht="28.5" x14ac:dyDescent="0.45">
      <c r="A153" s="62" t="str">
        <f>Arbejdsark!$A$502</f>
        <v>Kvalitet af aflevering til driftspersonale</v>
      </c>
      <c r="B153" s="328">
        <v>5</v>
      </c>
      <c r="C153" s="62"/>
      <c r="D153" s="62"/>
      <c r="E153" s="62"/>
      <c r="F153" s="62"/>
      <c r="G153" s="62"/>
      <c r="H153" s="62"/>
      <c r="I153" s="63" t="str">
        <f>IF('Sortering af spørgsmål'!$C$30=Projektforudsætninger!$C$24,"Udfyld spørgsmål","Ingen spørgsmål")</f>
        <v>Ingen spørgsmål</v>
      </c>
      <c r="J153" s="64"/>
      <c r="K153" s="64"/>
    </row>
    <row r="154" spans="1:11" ht="113.65" customHeight="1" x14ac:dyDescent="0.45">
      <c r="A154" s="45" t="str">
        <f>Arbejdsark!$A$502</f>
        <v>Kvalitet af aflevering til driftspersonale</v>
      </c>
      <c r="B154" s="327" t="str">
        <f>Arbejdsark!$B$502</f>
        <v>5.1</v>
      </c>
      <c r="C154" s="45" t="str">
        <f>IF('Sortering af spørgsmål'!$C$30=Projektforudsætninger!$C$24,Arbejdsark!C502,"")</f>
        <v/>
      </c>
      <c r="D154" s="46">
        <f>Arbejdsark!D160</f>
        <v>0</v>
      </c>
      <c r="E154" s="45">
        <f>Arbejdsark!I160</f>
        <v>0</v>
      </c>
      <c r="F154" s="45">
        <f>Arbejdsark!J160</f>
        <v>0</v>
      </c>
      <c r="G154" s="45" t="e">
        <f>Arbejdsark!#REF!</f>
        <v>#REF!</v>
      </c>
      <c r="H154" s="45" t="e">
        <f>Arbejdsark!#REF!</f>
        <v>#REF!</v>
      </c>
      <c r="I154" s="45" t="str">
        <f>IF('Sortering af spørgsmål'!$C$30=Projektforudsætninger!$C$24,Arbejdsark!K502,"")</f>
        <v/>
      </c>
      <c r="J154" s="41" t="s">
        <v>9</v>
      </c>
      <c r="K154" s="41"/>
    </row>
    <row r="155" spans="1:11" ht="113.65" customHeight="1" x14ac:dyDescent="0.45">
      <c r="A155" s="45" t="str">
        <f>Arbejdsark!$A$502</f>
        <v>Kvalitet af aflevering til driftspersonale</v>
      </c>
      <c r="B155" s="327" t="str">
        <f>Arbejdsark!$B$507</f>
        <v>5.2</v>
      </c>
      <c r="C155" s="45" t="str">
        <f>IF('Sortering af spørgsmål'!$C$30=Projektforudsætninger!$C$24,Arbejdsark!C507,"")</f>
        <v/>
      </c>
      <c r="D155" s="46">
        <f>Arbejdsark!D161</f>
        <v>0</v>
      </c>
      <c r="E155" s="45">
        <f>Arbejdsark!I161</f>
        <v>0</v>
      </c>
      <c r="F155" s="45">
        <f>Arbejdsark!J161</f>
        <v>0</v>
      </c>
      <c r="G155" s="45" t="e">
        <f>Arbejdsark!#REF!</f>
        <v>#REF!</v>
      </c>
      <c r="H155" s="45" t="e">
        <f>Arbejdsark!#REF!</f>
        <v>#REF!</v>
      </c>
      <c r="I155" s="45" t="str">
        <f>IF('Sortering af spørgsmål'!$C$30=Projektforudsætninger!$C$24,Arbejdsark!K507,"")</f>
        <v/>
      </c>
      <c r="J155" s="41" t="s">
        <v>9</v>
      </c>
      <c r="K155" s="41"/>
    </row>
    <row r="156" spans="1:11" ht="113.65" customHeight="1" x14ac:dyDescent="0.45">
      <c r="A156" s="45" t="str">
        <f>Arbejdsark!$A$502</f>
        <v>Kvalitet af aflevering til driftspersonale</v>
      </c>
      <c r="B156" s="327" t="str">
        <f>Arbejdsark!$B$512</f>
        <v>5.3</v>
      </c>
      <c r="C156" s="45" t="str">
        <f>IF('Sortering af spørgsmål'!$C$30=Projektforudsætninger!$C$24,Arbejdsark!C512,"")</f>
        <v/>
      </c>
      <c r="D156" s="46">
        <f>Arbejdsark!D162</f>
        <v>0</v>
      </c>
      <c r="E156" s="45">
        <f>Arbejdsark!I162</f>
        <v>0</v>
      </c>
      <c r="F156" s="45">
        <f>Arbejdsark!J162</f>
        <v>0</v>
      </c>
      <c r="G156" s="45" t="e">
        <f>Arbejdsark!#REF!</f>
        <v>#REF!</v>
      </c>
      <c r="H156" s="45" t="e">
        <f>Arbejdsark!#REF!</f>
        <v>#REF!</v>
      </c>
      <c r="I156" s="45" t="str">
        <f>IF('Sortering af spørgsmål'!$C$30=Projektforudsætninger!$C$24,Arbejdsark!K512,"")</f>
        <v/>
      </c>
      <c r="J156" s="41" t="s">
        <v>9</v>
      </c>
      <c r="K156" s="41"/>
    </row>
    <row r="157" spans="1:11" x14ac:dyDescent="0.45">
      <c r="A157" s="45"/>
      <c r="B157" s="319"/>
      <c r="C157" s="45"/>
      <c r="D157" s="46"/>
      <c r="E157" s="45"/>
      <c r="F157" s="45"/>
      <c r="G157" s="45"/>
      <c r="H157" s="45"/>
      <c r="I157" s="45"/>
      <c r="J157" s="47"/>
      <c r="K157" s="47"/>
    </row>
    <row r="158" spans="1:11" ht="28.5" customHeight="1" x14ac:dyDescent="0.45">
      <c r="A158" s="62" t="str">
        <f>Arbejdsark!$A$517</f>
        <v>Byggeplads</v>
      </c>
      <c r="B158" s="328">
        <v>6</v>
      </c>
      <c r="C158" s="62"/>
      <c r="D158" s="62"/>
      <c r="E158" s="62"/>
      <c r="F158" s="62"/>
      <c r="G158" s="62"/>
      <c r="H158" s="62"/>
      <c r="I158" s="63" t="str">
        <f>IF('Sortering af spørgsmål'!$C$31=Projektforudsætninger!$C$24,"Udfyld spørgsmål","Ingen spørgsmål")</f>
        <v>Ingen spørgsmål</v>
      </c>
      <c r="J158" s="64"/>
      <c r="K158" s="64"/>
    </row>
    <row r="159" spans="1:11" x14ac:dyDescent="0.45">
      <c r="A159" s="45" t="str">
        <f>Arbejdsark!$A$517</f>
        <v>Byggeplads</v>
      </c>
      <c r="B159" s="327" t="str">
        <f>Arbejdsark!$B$517</f>
        <v>6.1</v>
      </c>
      <c r="C159" s="45" t="str">
        <f>IF('Sortering af spørgsmål'!$C$31=Projektforudsætninger!$C$24,Arbejdsark!C517,"")</f>
        <v/>
      </c>
      <c r="D159" s="46">
        <f>Arbejdsark!D163</f>
        <v>0</v>
      </c>
      <c r="E159" s="45">
        <f>Arbejdsark!I163</f>
        <v>0</v>
      </c>
      <c r="F159" s="45">
        <f>Arbejdsark!J163</f>
        <v>0</v>
      </c>
      <c r="G159" s="45" t="e">
        <f>Arbejdsark!#REF!</f>
        <v>#REF!</v>
      </c>
      <c r="H159" s="45" t="e">
        <f>Arbejdsark!#REF!</f>
        <v>#REF!</v>
      </c>
      <c r="I159" s="45" t="str">
        <f>IF('Sortering af spørgsmål'!$C$31=Projektforudsætninger!$C$24,Arbejdsark!K517,"")</f>
        <v/>
      </c>
      <c r="J159" s="41" t="s">
        <v>9</v>
      </c>
      <c r="K159" s="41"/>
    </row>
    <row r="160" spans="1:11" ht="141.75" customHeight="1" x14ac:dyDescent="0.45">
      <c r="A160" s="45" t="str">
        <f>Arbejdsark!$A$517</f>
        <v>Byggeplads</v>
      </c>
      <c r="B160" s="327" t="str">
        <f>Arbejdsark!$B$522</f>
        <v>6.2</v>
      </c>
      <c r="C160" s="45" t="str">
        <f>IF('Sortering af spørgsmål'!$C$31=Projektforudsætninger!$C$24,Arbejdsark!C522,"")</f>
        <v/>
      </c>
      <c r="D160" s="46" t="e">
        <f>Arbejdsark!#REF!</f>
        <v>#REF!</v>
      </c>
      <c r="E160" s="45" t="e">
        <f>Arbejdsark!#REF!</f>
        <v>#REF!</v>
      </c>
      <c r="F160" s="45" t="e">
        <f>Arbejdsark!#REF!</f>
        <v>#REF!</v>
      </c>
      <c r="G160" s="45" t="e">
        <f>Arbejdsark!#REF!</f>
        <v>#REF!</v>
      </c>
      <c r="H160" s="45" t="e">
        <f>Arbejdsark!#REF!</f>
        <v>#REF!</v>
      </c>
      <c r="I160" s="45" t="str">
        <f>IF('Sortering af spørgsmål'!$C$31=Projektforudsætninger!$C$24,Arbejdsark!K522,"")</f>
        <v/>
      </c>
      <c r="J160" s="41" t="s">
        <v>9</v>
      </c>
      <c r="K160" s="41"/>
    </row>
    <row r="161" spans="1:11" ht="141.75" customHeight="1" x14ac:dyDescent="0.45">
      <c r="A161" s="45" t="str">
        <f>Arbejdsark!$A$517</f>
        <v>Byggeplads</v>
      </c>
      <c r="B161" s="327" t="str">
        <f>Arbejdsark!$B$527</f>
        <v>6.3</v>
      </c>
      <c r="C161" s="45" t="str">
        <f>IF('Sortering af spørgsmål'!$C$31=Projektforudsætninger!$C$24,Arbejdsark!C527,"")</f>
        <v/>
      </c>
      <c r="D161" s="46" t="e">
        <f>Arbejdsark!#REF!</f>
        <v>#REF!</v>
      </c>
      <c r="E161" s="45" t="e">
        <f>Arbejdsark!#REF!</f>
        <v>#REF!</v>
      </c>
      <c r="F161" s="45" t="e">
        <f>Arbejdsark!#REF!</f>
        <v>#REF!</v>
      </c>
      <c r="G161" s="45" t="e">
        <f>Arbejdsark!#REF!</f>
        <v>#REF!</v>
      </c>
      <c r="H161" s="45" t="e">
        <f>Arbejdsark!#REF!</f>
        <v>#REF!</v>
      </c>
      <c r="I161" s="45" t="str">
        <f>IF('Sortering af spørgsmål'!$C$31=Projektforudsætninger!$C$24,Arbejdsark!K527,"")</f>
        <v/>
      </c>
      <c r="J161" s="41" t="s">
        <v>9</v>
      </c>
      <c r="K161" s="41"/>
    </row>
    <row r="162" spans="1:11" ht="113.65" customHeight="1" x14ac:dyDescent="0.45">
      <c r="A162" s="45" t="str">
        <f>Arbejdsark!$A$517</f>
        <v>Byggeplads</v>
      </c>
      <c r="B162" s="327" t="str">
        <f>Arbejdsark!$B$532</f>
        <v>6.4</v>
      </c>
      <c r="C162" s="45" t="str">
        <f>IF('Sortering af spørgsmål'!$C$31=Projektforudsætninger!$C$24,Arbejdsark!C532,"")</f>
        <v/>
      </c>
      <c r="D162" s="46" t="e">
        <f>Arbejdsark!#REF!</f>
        <v>#REF!</v>
      </c>
      <c r="E162" s="45" t="e">
        <f>Arbejdsark!#REF!</f>
        <v>#REF!</v>
      </c>
      <c r="F162" s="45" t="e">
        <f>Arbejdsark!#REF!</f>
        <v>#REF!</v>
      </c>
      <c r="G162" s="45" t="e">
        <f>Arbejdsark!#REF!</f>
        <v>#REF!</v>
      </c>
      <c r="H162" s="45" t="e">
        <f>Arbejdsark!#REF!</f>
        <v>#REF!</v>
      </c>
      <c r="I162" s="45" t="str">
        <f>IF('Sortering af spørgsmål'!$C$31=Projektforudsætninger!$C$24,Arbejdsark!K532,"")</f>
        <v/>
      </c>
      <c r="J162" s="41" t="s">
        <v>9</v>
      </c>
      <c r="K162" s="41"/>
    </row>
    <row r="163" spans="1:11" ht="113.65" customHeight="1" x14ac:dyDescent="0.45">
      <c r="A163" s="45" t="str">
        <f>Arbejdsark!$A$517</f>
        <v>Byggeplads</v>
      </c>
      <c r="B163" s="327" t="str">
        <f>Arbejdsark!$B$537</f>
        <v>6.5</v>
      </c>
      <c r="C163" s="45" t="str">
        <f>IF('Sortering af spørgsmål'!$C$31=Projektforudsætninger!$C$24,Arbejdsark!C537,"")</f>
        <v/>
      </c>
      <c r="D163" s="46" t="e">
        <f>Arbejdsark!#REF!</f>
        <v>#REF!</v>
      </c>
      <c r="E163" s="45" t="e">
        <f>Arbejdsark!#REF!</f>
        <v>#REF!</v>
      </c>
      <c r="F163" s="45" t="e">
        <f>Arbejdsark!#REF!</f>
        <v>#REF!</v>
      </c>
      <c r="G163" s="45" t="e">
        <f>Arbejdsark!#REF!</f>
        <v>#REF!</v>
      </c>
      <c r="H163" s="45" t="e">
        <f>Arbejdsark!#REF!</f>
        <v>#REF!</v>
      </c>
      <c r="I163" s="45" t="str">
        <f>IF('Sortering af spørgsmål'!$C$31=Projektforudsætninger!$C$24,Arbejdsark!K537,"")</f>
        <v/>
      </c>
      <c r="J163" s="41" t="s">
        <v>9</v>
      </c>
      <c r="K163" s="41"/>
    </row>
    <row r="164" spans="1:11" ht="113.65" customHeight="1" x14ac:dyDescent="0.45">
      <c r="A164" s="45" t="str">
        <f>Arbejdsark!$A$517</f>
        <v>Byggeplads</v>
      </c>
      <c r="B164" s="327" t="str">
        <f>Arbejdsark!$B$542</f>
        <v>6.6</v>
      </c>
      <c r="C164" s="45" t="str">
        <f>IF('Sortering af spørgsmål'!$C$31=Projektforudsætninger!$C$24,Arbejdsark!C542,"")</f>
        <v/>
      </c>
      <c r="D164" s="46" t="e">
        <f>Arbejdsark!#REF!</f>
        <v>#REF!</v>
      </c>
      <c r="E164" s="45" t="e">
        <f>Arbejdsark!#REF!</f>
        <v>#REF!</v>
      </c>
      <c r="F164" s="45" t="e">
        <f>Arbejdsark!#REF!</f>
        <v>#REF!</v>
      </c>
      <c r="G164" s="45" t="e">
        <f>Arbejdsark!#REF!</f>
        <v>#REF!</v>
      </c>
      <c r="H164" s="45" t="e">
        <f>Arbejdsark!#REF!</f>
        <v>#REF!</v>
      </c>
      <c r="I164" s="45" t="str">
        <f>IF('Sortering af spørgsmål'!$C$31=Projektforudsætninger!$C$24,Arbejdsark!K542,"")</f>
        <v/>
      </c>
      <c r="J164" s="41" t="s">
        <v>9</v>
      </c>
      <c r="K164" s="41"/>
    </row>
    <row r="165" spans="1:11" x14ac:dyDescent="0.45">
      <c r="A165" s="45"/>
      <c r="B165" s="319"/>
      <c r="C165" s="45"/>
      <c r="D165" s="46"/>
      <c r="E165" s="45"/>
      <c r="F165" s="45"/>
      <c r="G165" s="45"/>
      <c r="H165" s="45"/>
      <c r="I165" s="45"/>
      <c r="J165" s="47"/>
      <c r="K165" s="47"/>
    </row>
    <row r="166" spans="1:11" ht="42.6" customHeight="1" x14ac:dyDescent="0.45">
      <c r="A166" s="62" t="str">
        <f>Arbejdsark!$A$548</f>
        <v>Eftervisende dokumentation</v>
      </c>
      <c r="B166" s="328">
        <v>7</v>
      </c>
      <c r="C166" s="62"/>
      <c r="D166" s="62"/>
      <c r="E166" s="62"/>
      <c r="F166" s="62"/>
      <c r="G166" s="62"/>
      <c r="H166" s="62"/>
      <c r="I166" s="63" t="str">
        <f>IF('Sortering af spørgsmål'!$C$32=Projektforudsætninger!$C$24,"Udfyld spørgsmål","Ingen spørgsmål")</f>
        <v>Ingen spørgsmål</v>
      </c>
      <c r="J166" s="64"/>
      <c r="K166" s="64"/>
    </row>
    <row r="167" spans="1:11" ht="113.65" customHeight="1" x14ac:dyDescent="0.45">
      <c r="A167" s="45" t="str">
        <f>Arbejdsark!$A$548</f>
        <v>Eftervisende dokumentation</v>
      </c>
      <c r="B167" s="327" t="str">
        <f>Arbejdsark!$B$548</f>
        <v>7.1</v>
      </c>
      <c r="C167" s="45" t="str">
        <f>IF('Sortering af spørgsmål'!$C$32=Projektforudsætninger!$C$24,Arbejdsark!C548,"")</f>
        <v/>
      </c>
      <c r="D167" s="46" t="e">
        <f>Arbejdsark!#REF!</f>
        <v>#REF!</v>
      </c>
      <c r="E167" s="45" t="e">
        <f>Arbejdsark!#REF!</f>
        <v>#REF!</v>
      </c>
      <c r="F167" s="45" t="e">
        <f>Arbejdsark!#REF!</f>
        <v>#REF!</v>
      </c>
      <c r="G167" s="45" t="e">
        <f>Arbejdsark!#REF!</f>
        <v>#REF!</v>
      </c>
      <c r="H167" s="45" t="e">
        <f>Arbejdsark!#REF!</f>
        <v>#REF!</v>
      </c>
      <c r="I167" s="45" t="str">
        <f>IF('Sortering af spørgsmål'!$C$32=Projektforudsætninger!$C$24,Arbejdsark!K548,"")</f>
        <v/>
      </c>
      <c r="J167" s="41" t="s">
        <v>9</v>
      </c>
      <c r="K167" s="41"/>
    </row>
    <row r="168" spans="1:11" ht="113.65" customHeight="1" x14ac:dyDescent="0.45">
      <c r="A168" s="45" t="str">
        <f>Arbejdsark!$A$548</f>
        <v>Eftervisende dokumentation</v>
      </c>
      <c r="B168" s="327" t="str">
        <f>Arbejdsark!$B$553</f>
        <v>7.2</v>
      </c>
      <c r="C168" s="45" t="str">
        <f>IF('Sortering af spørgsmål'!$C$32=Projektforudsætninger!$C$24,Arbejdsark!C553,"")</f>
        <v/>
      </c>
      <c r="D168" s="46" t="e">
        <f>Arbejdsark!#REF!</f>
        <v>#REF!</v>
      </c>
      <c r="E168" s="45" t="e">
        <f>Arbejdsark!#REF!</f>
        <v>#REF!</v>
      </c>
      <c r="F168" s="45" t="e">
        <f>Arbejdsark!#REF!</f>
        <v>#REF!</v>
      </c>
      <c r="G168" s="45" t="e">
        <f>Arbejdsark!#REF!</f>
        <v>#REF!</v>
      </c>
      <c r="H168" s="45" t="e">
        <f>Arbejdsark!#REF!</f>
        <v>#REF!</v>
      </c>
      <c r="I168" s="45" t="str">
        <f>IF('Sortering af spørgsmål'!$C$32=Projektforudsætninger!$C$24,Arbejdsark!K553,"")</f>
        <v/>
      </c>
      <c r="J168" s="41" t="s">
        <v>9</v>
      </c>
      <c r="K168" s="41"/>
    </row>
    <row r="169" spans="1:11" ht="113.65" customHeight="1" x14ac:dyDescent="0.45">
      <c r="A169" s="45" t="str">
        <f>Arbejdsark!$A$548</f>
        <v>Eftervisende dokumentation</v>
      </c>
      <c r="B169" s="327" t="str">
        <f>Arbejdsark!$B$558</f>
        <v>7.3</v>
      </c>
      <c r="C169" s="45" t="str">
        <f>IF('Sortering af spørgsmål'!$C$32=Projektforudsætninger!$C$24,Arbejdsark!C558,"")</f>
        <v/>
      </c>
      <c r="D169" s="46" t="e">
        <f>Arbejdsark!#REF!</f>
        <v>#REF!</v>
      </c>
      <c r="E169" s="45" t="e">
        <f>Arbejdsark!#REF!</f>
        <v>#REF!</v>
      </c>
      <c r="F169" s="45" t="e">
        <f>Arbejdsark!#REF!</f>
        <v>#REF!</v>
      </c>
      <c r="G169" s="45" t="e">
        <f>Arbejdsark!#REF!</f>
        <v>#REF!</v>
      </c>
      <c r="H169" s="45" t="e">
        <f>Arbejdsark!#REF!</f>
        <v>#REF!</v>
      </c>
      <c r="I169" s="45" t="str">
        <f>IF('Sortering af spørgsmål'!$C$32=Projektforudsætninger!$C$24,Arbejdsark!K558,"")</f>
        <v/>
      </c>
      <c r="J169" s="41" t="s">
        <v>9</v>
      </c>
      <c r="K169" s="41"/>
    </row>
    <row r="170" spans="1:11" ht="170.25" customHeight="1" x14ac:dyDescent="0.45">
      <c r="A170" s="45" t="str">
        <f>Arbejdsark!$A$548</f>
        <v>Eftervisende dokumentation</v>
      </c>
      <c r="B170" s="327" t="str">
        <f>Arbejdsark!$B$563</f>
        <v>7.4</v>
      </c>
      <c r="C170" s="45" t="str">
        <f>IF('Sortering af spørgsmål'!$C$32=Projektforudsætninger!$C$24,Arbejdsark!C563,"")</f>
        <v/>
      </c>
      <c r="D170" s="46" t="e">
        <f>Arbejdsark!#REF!</f>
        <v>#REF!</v>
      </c>
      <c r="E170" s="45" t="e">
        <f>Arbejdsark!#REF!</f>
        <v>#REF!</v>
      </c>
      <c r="F170" s="45" t="e">
        <f>Arbejdsark!#REF!</f>
        <v>#REF!</v>
      </c>
      <c r="G170" s="45" t="e">
        <f>Arbejdsark!#REF!</f>
        <v>#REF!</v>
      </c>
      <c r="H170" s="45" t="e">
        <f>Arbejdsark!#REF!</f>
        <v>#REF!</v>
      </c>
      <c r="I170" s="45" t="str">
        <f>IF('Sortering af spørgsmål'!$C$32=Projektforudsætninger!$C$24,Arbejdsark!K563,"")</f>
        <v/>
      </c>
      <c r="J170" s="41" t="s">
        <v>9</v>
      </c>
      <c r="K170" s="41"/>
    </row>
    <row r="171" spans="1:11" x14ac:dyDescent="0.45">
      <c r="A171" s="45" t="str">
        <f>Arbejdsark!$A$548</f>
        <v>Eftervisende dokumentation</v>
      </c>
      <c r="B171" s="327" t="str">
        <f>Arbejdsark!$B$572</f>
        <v>7.5</v>
      </c>
      <c r="C171" s="45" t="str">
        <f>IF('Sortering af spørgsmål'!$C$32=Projektforudsætninger!$C$24,Arbejdsark!$C$572,"")</f>
        <v/>
      </c>
      <c r="D171" s="46"/>
      <c r="E171" s="45"/>
      <c r="F171" s="45"/>
      <c r="G171" s="45"/>
      <c r="H171" s="45"/>
      <c r="I171" s="45" t="str">
        <f>IF('Sortering af spørgsmål'!$C$32=Projektforudsætninger!$C$24,Arbejdsark!$K$572,"")</f>
        <v/>
      </c>
      <c r="J171" s="37" t="s">
        <v>9</v>
      </c>
      <c r="K171" s="41"/>
    </row>
    <row r="172" spans="1:11" ht="28.5" customHeight="1" x14ac:dyDescent="0.45">
      <c r="A172" s="136"/>
      <c r="B172" s="320"/>
      <c r="C172" s="136"/>
      <c r="D172" s="305"/>
      <c r="E172" s="136"/>
      <c r="F172" s="136"/>
      <c r="G172" s="136"/>
      <c r="H172" s="136"/>
      <c r="I172" s="136"/>
      <c r="J172" s="136"/>
      <c r="K172" s="136"/>
    </row>
    <row r="173" spans="1:11" ht="141.75" customHeight="1" x14ac:dyDescent="0.45">
      <c r="A173" s="324"/>
      <c r="B173" s="325"/>
      <c r="C173" s="324"/>
      <c r="D173" s="326"/>
      <c r="E173" s="324"/>
      <c r="F173" s="324"/>
      <c r="G173" s="324"/>
      <c r="H173" s="324"/>
      <c r="I173" s="324"/>
      <c r="J173" s="324"/>
      <c r="K173" s="324"/>
    </row>
  </sheetData>
  <sheetProtection sheet="1" selectLockedCells="1"/>
  <mergeCells count="2">
    <mergeCell ref="B1:I1"/>
    <mergeCell ref="A2:L2"/>
  </mergeCells>
  <dataValidations count="3">
    <dataValidation type="list" allowBlank="1" showInputMessage="1" showErrorMessage="1" sqref="J70 J65" xr:uid="{00000000-0002-0000-0900-000000000000}">
      <formula1>$AE$1:$AE$5</formula1>
    </dataValidation>
    <dataValidation type="list" allowBlank="1" showInputMessage="1" showErrorMessage="1" sqref="J6:J9 J133 J167:J170 J159:J164 J154:J156 J151 J148 J141:J145 J138 J86:J87 J117:J123 J126:J131 J94:J108 J90:J91 J77:J78 J68:J69 J56:J64 J50:J51 J40:J47 J36:J37 J30:J31 J27 J21:J24 J16:J18 J12:J13 J73:J74 J81:J83 J113:J114" xr:uid="{00000000-0002-0000-0900-000001000000}">
      <formula1>$AI$2:$AI$5</formula1>
    </dataValidation>
    <dataValidation type="list" allowBlank="1" showInputMessage="1" showErrorMessage="1" sqref="J171" xr:uid="{00000000-0002-0000-0900-000002000000}">
      <formula1>$AH$3:$AH$6</formula1>
    </dataValidation>
  </dataValidations>
  <pageMargins left="0.23622047244094491" right="0.23622047244094491" top="0.74803149606299213" bottom="0.74803149606299213" header="0.31496062992125984" footer="0.31496062992125984"/>
  <pageSetup paperSize="8" scale="46" fitToHeight="0" orientation="portrait" r:id="rId1"/>
  <headerFooter>
    <oddHeader>&amp;C&amp;9&amp;A</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3000000}">
          <x14:formula1>
            <xm:f>Arbejdsark!$L$5:$L$7</xm:f>
          </x14:formula1>
          <xm:sqref>J5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5">
    <tabColor rgb="FF00B0F0"/>
    <pageSetUpPr fitToPage="1"/>
  </sheetPr>
  <dimension ref="A1:AI173"/>
  <sheetViews>
    <sheetView view="pageLayout" topLeftCell="A2" zoomScale="85" zoomScaleNormal="87" zoomScalePageLayoutView="85" workbookViewId="0">
      <selection activeCell="J6" sqref="J6"/>
    </sheetView>
  </sheetViews>
  <sheetFormatPr defaultColWidth="8.59765625" defaultRowHeight="14.25" x14ac:dyDescent="0.45"/>
  <cols>
    <col min="1" max="1" width="25.265625" style="30" customWidth="1"/>
    <col min="2" max="2" width="4.265625" style="30" customWidth="1"/>
    <col min="3" max="3" width="11.73046875" style="30" customWidth="1"/>
    <col min="4" max="4" width="37.265625" style="30" hidden="1" customWidth="1"/>
    <col min="5" max="8" width="8.73046875" style="30" hidden="1" customWidth="1"/>
    <col min="9" max="9" width="30" style="30" customWidth="1"/>
    <col min="10" max="10" width="32.73046875" style="30" customWidth="1"/>
    <col min="11" max="11" width="20.3984375" style="30" customWidth="1"/>
    <col min="12" max="12" width="26.73046875" style="30" customWidth="1"/>
    <col min="13" max="21" width="8.73046875" style="30" hidden="1" customWidth="1"/>
    <col min="22" max="22" width="7.3984375" style="30" hidden="1" customWidth="1"/>
    <col min="23" max="23" width="8.73046875" style="30" customWidth="1"/>
    <col min="24" max="29" width="8.59765625" style="30"/>
    <col min="30" max="30" width="8.59765625" style="30" customWidth="1"/>
    <col min="31" max="33" width="8.73046875" style="30" hidden="1" customWidth="1"/>
    <col min="34" max="35" width="8.59765625" style="30" hidden="1" customWidth="1"/>
    <col min="36" max="16384" width="8.59765625" style="30"/>
  </cols>
  <sheetData>
    <row r="1" spans="1:35" ht="28.5" x14ac:dyDescent="0.45">
      <c r="A1" s="296" t="s">
        <v>188</v>
      </c>
      <c r="B1" s="795" t="str">
        <f>Projektforudsætninger!C25</f>
        <v>-6-</v>
      </c>
      <c r="C1" s="795"/>
      <c r="D1" s="795"/>
      <c r="E1" s="795"/>
      <c r="F1" s="795"/>
      <c r="G1" s="795"/>
      <c r="H1" s="795"/>
      <c r="I1" s="795"/>
      <c r="J1" s="19"/>
      <c r="K1" s="19"/>
      <c r="L1" s="19"/>
      <c r="M1" s="19"/>
      <c r="N1" s="19"/>
      <c r="O1" s="19"/>
      <c r="P1" s="19"/>
      <c r="Q1" s="19"/>
      <c r="R1" s="19"/>
      <c r="S1" s="19"/>
      <c r="T1" s="19"/>
      <c r="U1" s="19"/>
      <c r="V1" s="19"/>
      <c r="AE1" s="30" t="s">
        <v>9</v>
      </c>
    </row>
    <row r="2" spans="1:35" ht="50.25" customHeight="1" x14ac:dyDescent="0.45">
      <c r="A2" s="777" t="s">
        <v>194</v>
      </c>
      <c r="B2" s="777"/>
      <c r="C2" s="777"/>
      <c r="D2" s="777"/>
      <c r="E2" s="777"/>
      <c r="F2" s="777"/>
      <c r="G2" s="777"/>
      <c r="H2" s="777"/>
      <c r="I2" s="777"/>
      <c r="J2" s="777"/>
      <c r="K2" s="777"/>
      <c r="L2" s="777"/>
      <c r="M2" s="19"/>
      <c r="N2" s="19"/>
      <c r="O2" s="19"/>
      <c r="P2" s="19"/>
      <c r="Q2" s="19"/>
      <c r="R2" s="19"/>
      <c r="S2" s="19"/>
      <c r="T2" s="19"/>
      <c r="U2" s="19"/>
      <c r="V2" s="19"/>
      <c r="AE2" s="294" t="s">
        <v>170</v>
      </c>
      <c r="AG2" s="31" t="s">
        <v>171</v>
      </c>
      <c r="AI2" s="30" t="s">
        <v>9</v>
      </c>
    </row>
    <row r="3" spans="1:35" ht="23.25" x14ac:dyDescent="0.45">
      <c r="A3" s="49" t="str">
        <f>Arbejdsark!A2</f>
        <v>MILJØ KVALITET</v>
      </c>
      <c r="B3" s="49"/>
      <c r="C3" s="261"/>
      <c r="D3" s="261"/>
      <c r="E3" s="262"/>
      <c r="F3" s="262"/>
      <c r="G3" s="262"/>
      <c r="H3" s="262"/>
      <c r="I3" s="262"/>
      <c r="J3" s="262"/>
      <c r="K3" s="262"/>
      <c r="L3" s="299"/>
      <c r="M3" s="19"/>
      <c r="N3" s="19"/>
      <c r="O3" s="19"/>
      <c r="P3" s="19"/>
      <c r="Q3" s="19"/>
      <c r="R3" s="19"/>
      <c r="S3" s="19"/>
      <c r="T3" s="19"/>
      <c r="U3" s="19"/>
      <c r="V3" s="19"/>
      <c r="AE3" s="294" t="s">
        <v>498</v>
      </c>
      <c r="AG3" s="31" t="s">
        <v>173</v>
      </c>
      <c r="AI3" s="294" t="s">
        <v>498</v>
      </c>
    </row>
    <row r="4" spans="1:35" s="33" customFormat="1" ht="20.25" customHeight="1" x14ac:dyDescent="0.45">
      <c r="A4" s="67" t="s">
        <v>118</v>
      </c>
      <c r="B4" s="67" t="s">
        <v>179</v>
      </c>
      <c r="C4" s="67" t="s">
        <v>167</v>
      </c>
      <c r="D4" s="68" t="s">
        <v>63</v>
      </c>
      <c r="E4" s="67" t="s">
        <v>190</v>
      </c>
      <c r="F4" s="67" t="s">
        <v>19</v>
      </c>
      <c r="G4" s="67" t="s">
        <v>183</v>
      </c>
      <c r="H4" s="67" t="s">
        <v>191</v>
      </c>
      <c r="I4" s="137" t="s">
        <v>61</v>
      </c>
      <c r="J4" s="67" t="s">
        <v>62</v>
      </c>
      <c r="K4" s="67" t="s">
        <v>185</v>
      </c>
      <c r="L4" s="32"/>
      <c r="M4" s="32"/>
      <c r="N4" s="32"/>
      <c r="O4" s="32"/>
      <c r="P4" s="32"/>
      <c r="Q4" s="32"/>
      <c r="R4" s="32"/>
      <c r="S4" s="32"/>
      <c r="T4" s="32"/>
      <c r="U4" s="32"/>
      <c r="AE4" s="294" t="s">
        <v>499</v>
      </c>
      <c r="AG4" s="31" t="s">
        <v>12</v>
      </c>
      <c r="AI4" s="294" t="s">
        <v>499</v>
      </c>
    </row>
    <row r="5" spans="1:35" ht="28.5" customHeight="1" x14ac:dyDescent="0.45">
      <c r="A5" s="49" t="str">
        <f>Arbejdsark!$A$4</f>
        <v>Materialer</v>
      </c>
      <c r="B5" s="50">
        <v>1</v>
      </c>
      <c r="C5" s="261"/>
      <c r="D5" s="261"/>
      <c r="E5" s="262"/>
      <c r="F5" s="262"/>
      <c r="G5" s="262"/>
      <c r="H5" s="262"/>
      <c r="I5" s="262" t="str">
        <f>IF('Sortering af spørgsmål'!$C$6=Projektforudsætninger!$C$25,"Udfyld spørgsmål","Ingen spørgsmål")</f>
        <v>Ingen spørgsmål</v>
      </c>
      <c r="J5" s="262"/>
      <c r="K5" s="262"/>
      <c r="L5" s="26"/>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E5" s="294" t="s">
        <v>495</v>
      </c>
      <c r="AI5" s="294" t="s">
        <v>495</v>
      </c>
    </row>
    <row r="6" spans="1:35" ht="141.75" customHeight="1" x14ac:dyDescent="0.45">
      <c r="A6" s="148" t="str">
        <f>Arbejdsark!$A$4</f>
        <v>Materialer</v>
      </c>
      <c r="B6" s="43" t="str">
        <f>Arbejdsark!$B$4</f>
        <v>1.1</v>
      </c>
      <c r="C6" s="45" t="str">
        <f>IF('Sortering af spørgsmål'!C6=Projektforudsætninger!$C$25,Arbejdsark!C4,"")</f>
        <v/>
      </c>
      <c r="D6" s="46"/>
      <c r="E6" s="45"/>
      <c r="F6" s="45"/>
      <c r="G6" s="45"/>
      <c r="H6" s="45"/>
      <c r="I6" s="45" t="str">
        <f>IF('Sortering af spørgsmål'!C6=Projektforudsætninger!$C$25,Arbejdsark!K4,"")</f>
        <v/>
      </c>
      <c r="J6" s="41" t="s">
        <v>9</v>
      </c>
      <c r="K6" s="41"/>
      <c r="L6" s="19"/>
      <c r="M6" s="19"/>
      <c r="N6" s="19"/>
      <c r="O6" s="19"/>
      <c r="P6" s="19"/>
      <c r="Q6" s="19"/>
      <c r="R6" s="19"/>
      <c r="S6" s="19"/>
      <c r="T6" s="19"/>
      <c r="U6" s="19"/>
      <c r="AE6" s="294" t="s">
        <v>186</v>
      </c>
    </row>
    <row r="7" spans="1:35" ht="141.75" customHeight="1" x14ac:dyDescent="0.45">
      <c r="A7" s="148" t="str">
        <f>Arbejdsark!$A$4</f>
        <v>Materialer</v>
      </c>
      <c r="B7" s="43" t="str">
        <f>Arbejdsark!$B$10</f>
        <v>1.2</v>
      </c>
      <c r="C7" s="45" t="str">
        <f>IF('Sortering af spørgsmål'!C6=Projektforudsætninger!$C$25,Arbejdsark!C10,"")</f>
        <v/>
      </c>
      <c r="D7" s="46" t="str">
        <f>Arbejdsark!D10</f>
        <v>ENV1.2</v>
      </c>
      <c r="E7" s="45" t="str">
        <f>Arbejdsark!I10</f>
        <v>x</v>
      </c>
      <c r="F7" s="45">
        <f>Arbejdsark!J10</f>
        <v>0</v>
      </c>
      <c r="G7" s="45" t="e">
        <f>Arbejdsark!#REF!</f>
        <v>#REF!</v>
      </c>
      <c r="H7" s="45" t="e">
        <f>Arbejdsark!#REF!</f>
        <v>#REF!</v>
      </c>
      <c r="I7" s="45" t="str">
        <f>IF('Sortering af spørgsmål'!C6=Projektforudsætninger!$C$25,Arbejdsark!K10,"")</f>
        <v/>
      </c>
      <c r="J7" s="41" t="s">
        <v>9</v>
      </c>
      <c r="K7" s="41"/>
      <c r="L7" s="19"/>
      <c r="M7" s="19"/>
      <c r="N7" s="19"/>
      <c r="O7" s="19"/>
      <c r="P7" s="19"/>
      <c r="Q7" s="19"/>
      <c r="R7" s="19"/>
      <c r="S7" s="19"/>
      <c r="T7" s="19"/>
      <c r="U7" s="19"/>
    </row>
    <row r="8" spans="1:35" ht="184.5" customHeight="1" x14ac:dyDescent="0.45">
      <c r="A8" s="148" t="str">
        <f>Arbejdsark!$A$4</f>
        <v>Materialer</v>
      </c>
      <c r="B8" s="43" t="str">
        <f>Arbejdsark!$B$15</f>
        <v>1.3</v>
      </c>
      <c r="C8" s="45" t="str">
        <f>IF('Sortering af spørgsmål'!C6=Projektforudsætninger!$C$25,Arbejdsark!C15,"")</f>
        <v/>
      </c>
      <c r="D8" s="46">
        <f>Arbejdsark!D11</f>
        <v>0</v>
      </c>
      <c r="E8" s="45">
        <f>Arbejdsark!I11</f>
        <v>0</v>
      </c>
      <c r="F8" s="45">
        <f>Arbejdsark!J11</f>
        <v>0</v>
      </c>
      <c r="G8" s="45" t="e">
        <f>Arbejdsark!#REF!</f>
        <v>#REF!</v>
      </c>
      <c r="H8" s="45" t="e">
        <f>Arbejdsark!#REF!</f>
        <v>#REF!</v>
      </c>
      <c r="I8" s="45" t="str">
        <f>IF('Sortering af spørgsmål'!C6=Projektforudsætninger!$C$25,Arbejdsark!K15,"")</f>
        <v/>
      </c>
      <c r="J8" s="41" t="s">
        <v>9</v>
      </c>
      <c r="K8" s="41"/>
      <c r="L8" s="19"/>
      <c r="M8" s="19"/>
      <c r="N8" s="19"/>
      <c r="O8" s="19"/>
      <c r="P8" s="19"/>
      <c r="Q8" s="19"/>
      <c r="R8" s="19"/>
      <c r="S8" s="19"/>
      <c r="T8" s="19"/>
      <c r="U8" s="19"/>
    </row>
    <row r="9" spans="1:35" ht="198.4" customHeight="1" x14ac:dyDescent="0.45">
      <c r="A9" s="148" t="str">
        <f>Arbejdsark!$A$4</f>
        <v>Materialer</v>
      </c>
      <c r="B9" s="43" t="str">
        <f>Arbejdsark!$B$20</f>
        <v>1.4</v>
      </c>
      <c r="C9" s="45" t="str">
        <f>IF('Sortering af spørgsmål'!C6=Projektforudsætninger!$C$25,Arbejdsark!C20,"")</f>
        <v/>
      </c>
      <c r="D9" s="46">
        <f>Arbejdsark!D12</f>
        <v>0</v>
      </c>
      <c r="E9" s="45">
        <f>Arbejdsark!I12</f>
        <v>0</v>
      </c>
      <c r="F9" s="45">
        <f>Arbejdsark!J12</f>
        <v>0</v>
      </c>
      <c r="G9" s="45" t="e">
        <f>Arbejdsark!#REF!</f>
        <v>#REF!</v>
      </c>
      <c r="H9" s="45" t="e">
        <f>Arbejdsark!#REF!</f>
        <v>#REF!</v>
      </c>
      <c r="I9" s="45" t="str">
        <f>IF('Sortering af spørgsmål'!C6=Projektforudsætninger!$C$25,Arbejdsark!K20,"")</f>
        <v/>
      </c>
      <c r="J9" s="41" t="s">
        <v>9</v>
      </c>
      <c r="K9" s="41"/>
      <c r="L9" s="19"/>
      <c r="M9" s="19"/>
      <c r="N9" s="19"/>
      <c r="O9" s="19"/>
      <c r="P9" s="19"/>
      <c r="Q9" s="19"/>
      <c r="R9" s="19"/>
      <c r="S9" s="19"/>
      <c r="T9" s="19"/>
      <c r="U9" s="19"/>
      <c r="AD9" s="294" t="s">
        <v>10</v>
      </c>
      <c r="AF9" s="30">
        <v>1</v>
      </c>
    </row>
    <row r="10" spans="1:35" x14ac:dyDescent="0.45">
      <c r="A10" s="45"/>
      <c r="B10" s="38"/>
      <c r="C10" s="45"/>
      <c r="D10" s="46"/>
      <c r="E10" s="45"/>
      <c r="F10" s="45"/>
      <c r="G10" s="45"/>
      <c r="H10" s="45"/>
      <c r="I10" s="45"/>
      <c r="J10" s="47"/>
      <c r="K10" s="47"/>
      <c r="L10" s="19"/>
      <c r="M10" s="19"/>
      <c r="N10" s="19"/>
      <c r="O10" s="19"/>
      <c r="P10" s="19"/>
      <c r="Q10" s="19"/>
      <c r="R10" s="19"/>
      <c r="S10" s="19"/>
      <c r="T10" s="19"/>
      <c r="U10" s="19"/>
      <c r="AD10" s="294" t="s">
        <v>12</v>
      </c>
      <c r="AF10" s="30">
        <v>2</v>
      </c>
    </row>
    <row r="11" spans="1:35" ht="28.5" customHeight="1" x14ac:dyDescent="0.45">
      <c r="A11" s="50" t="str">
        <f>Arbejdsark!$A$25</f>
        <v>Energi</v>
      </c>
      <c r="B11" s="50">
        <v>2</v>
      </c>
      <c r="C11" s="50"/>
      <c r="D11" s="50"/>
      <c r="E11" s="50"/>
      <c r="F11" s="50"/>
      <c r="G11" s="50"/>
      <c r="H11" s="50"/>
      <c r="I11" s="50" t="str">
        <f>IF('Sortering af spørgsmål'!$C$7=Projektforudsætninger!$C$25,"Udfyld spørgsmål","Ingen spørgsmål")</f>
        <v>Ingen spørgsmål</v>
      </c>
      <c r="J11" s="51"/>
      <c r="K11" s="51"/>
      <c r="L11" s="19"/>
      <c r="M11" s="19"/>
      <c r="N11" s="19"/>
      <c r="O11" s="19"/>
      <c r="P11" s="19"/>
      <c r="Q11" s="19"/>
      <c r="R11" s="19"/>
      <c r="S11" s="19"/>
      <c r="T11" s="19"/>
      <c r="U11" s="19"/>
      <c r="AD11" s="294" t="s">
        <v>192</v>
      </c>
      <c r="AF11" s="30">
        <v>3</v>
      </c>
    </row>
    <row r="12" spans="1:35" ht="255.4" customHeight="1" x14ac:dyDescent="0.45">
      <c r="A12" s="45" t="str">
        <f>Arbejdsark!$A$25</f>
        <v>Energi</v>
      </c>
      <c r="B12" s="43" t="str">
        <f>Arbejdsark!$B$25</f>
        <v>2.1</v>
      </c>
      <c r="C12" s="45" t="str">
        <f>IF('Sortering af spørgsmål'!C7=Projektforudsætninger!$C$25,Arbejdsark!C25,"")</f>
        <v/>
      </c>
      <c r="D12" s="46" t="str">
        <f>Arbejdsark!D15</f>
        <v>ENV1.3</v>
      </c>
      <c r="E12" s="45" t="str">
        <f>Arbejdsark!I15</f>
        <v>x</v>
      </c>
      <c r="F12" s="45">
        <f>Arbejdsark!J15</f>
        <v>0</v>
      </c>
      <c r="G12" s="45" t="e">
        <f>Arbejdsark!#REF!</f>
        <v>#REF!</v>
      </c>
      <c r="H12" s="45" t="e">
        <f>Arbejdsark!#REF!</f>
        <v>#REF!</v>
      </c>
      <c r="I12" s="45" t="str">
        <f>IF('Sortering af spørgsmål'!C7=Projektforudsætninger!$C$25,Arbejdsark!K25,"")</f>
        <v/>
      </c>
      <c r="J12" s="41" t="s">
        <v>9</v>
      </c>
      <c r="K12" s="41"/>
      <c r="L12" s="19"/>
      <c r="M12" s="19"/>
      <c r="N12" s="19"/>
      <c r="O12" s="19"/>
      <c r="P12" s="19"/>
      <c r="Q12" s="19"/>
      <c r="R12" s="19"/>
      <c r="S12" s="19"/>
      <c r="T12" s="19"/>
      <c r="U12" s="19"/>
      <c r="AF12" s="30">
        <v>4</v>
      </c>
    </row>
    <row r="13" spans="1:35" ht="99.4" customHeight="1" x14ac:dyDescent="0.45">
      <c r="A13" s="45" t="str">
        <f>Arbejdsark!$A$25</f>
        <v>Energi</v>
      </c>
      <c r="B13" s="43" t="str">
        <f>Arbejdsark!$B$30</f>
        <v>2.2</v>
      </c>
      <c r="C13" s="45" t="str">
        <f>IF('Sortering af spørgsmål'!C7=Projektforudsætninger!$C$25,Arbejdsark!C30,"")</f>
        <v/>
      </c>
      <c r="D13" s="46">
        <f>Arbejdsark!D16</f>
        <v>0</v>
      </c>
      <c r="E13" s="45">
        <f>Arbejdsark!I16</f>
        <v>0</v>
      </c>
      <c r="F13" s="45">
        <f>Arbejdsark!J16</f>
        <v>0</v>
      </c>
      <c r="G13" s="45" t="e">
        <f>Arbejdsark!#REF!</f>
        <v>#REF!</v>
      </c>
      <c r="H13" s="45" t="e">
        <f>Arbejdsark!#REF!</f>
        <v>#REF!</v>
      </c>
      <c r="I13" s="45" t="str">
        <f>IF('Sortering af spørgsmål'!C7=Projektforudsætninger!$C$25,Arbejdsark!K30,"")</f>
        <v/>
      </c>
      <c r="J13" s="41" t="s">
        <v>9</v>
      </c>
      <c r="K13" s="41"/>
      <c r="L13" s="19"/>
      <c r="M13" s="19"/>
      <c r="N13" s="19"/>
      <c r="O13" s="19"/>
      <c r="P13" s="19"/>
      <c r="Q13" s="19"/>
      <c r="R13" s="19"/>
      <c r="S13" s="19"/>
      <c r="T13" s="19"/>
      <c r="U13" s="19"/>
      <c r="AD13" s="294" t="s">
        <v>51</v>
      </c>
    </row>
    <row r="14" spans="1:35" ht="28.5" customHeight="1" x14ac:dyDescent="0.45">
      <c r="A14" s="45"/>
      <c r="B14" s="23"/>
      <c r="C14" s="45"/>
      <c r="D14" s="46"/>
      <c r="E14" s="45"/>
      <c r="F14" s="45"/>
      <c r="G14" s="45"/>
      <c r="H14" s="45"/>
      <c r="I14" s="45"/>
      <c r="J14" s="47"/>
      <c r="K14" s="47"/>
      <c r="L14" s="19"/>
      <c r="M14" s="19"/>
      <c r="N14" s="19"/>
      <c r="O14" s="19"/>
      <c r="P14" s="19"/>
      <c r="Q14" s="19"/>
      <c r="R14" s="19"/>
      <c r="S14" s="19"/>
      <c r="T14" s="19"/>
      <c r="U14" s="19"/>
      <c r="AD14" s="294" t="s">
        <v>176</v>
      </c>
      <c r="AF14" s="294">
        <v>3</v>
      </c>
    </row>
    <row r="15" spans="1:35" ht="28.5" customHeight="1" x14ac:dyDescent="0.45">
      <c r="A15" s="49" t="str">
        <f>Arbejdsark!$A$35</f>
        <v>Vand</v>
      </c>
      <c r="B15" s="50">
        <v>3</v>
      </c>
      <c r="C15" s="261"/>
      <c r="D15" s="261"/>
      <c r="E15" s="262"/>
      <c r="F15" s="262"/>
      <c r="G15" s="262"/>
      <c r="H15" s="262"/>
      <c r="I15" s="262" t="str">
        <f>IF('Sortering af spørgsmål'!$C$8=Projektforudsætninger!$C$25,"Udfyld spørgsmål","Ingen spørgsmål")</f>
        <v>Ingen spørgsmål</v>
      </c>
      <c r="J15" s="262"/>
      <c r="K15" s="262"/>
      <c r="L15" s="19"/>
      <c r="M15" s="19"/>
      <c r="N15" s="19"/>
      <c r="O15" s="19"/>
      <c r="P15" s="19"/>
      <c r="Q15" s="19"/>
      <c r="R15" s="19"/>
      <c r="S15" s="19"/>
      <c r="T15" s="19"/>
      <c r="U15" s="19"/>
      <c r="AD15" s="294" t="s">
        <v>55</v>
      </c>
      <c r="AE15" s="33"/>
      <c r="AF15" s="294">
        <v>2</v>
      </c>
    </row>
    <row r="16" spans="1:35" ht="170.25" customHeight="1" x14ac:dyDescent="0.45">
      <c r="A16" s="45" t="str">
        <f>Arbejdsark!$A$35</f>
        <v>Vand</v>
      </c>
      <c r="B16" s="43" t="str">
        <f>Arbejdsark!$B$35</f>
        <v>3.1</v>
      </c>
      <c r="C16" s="45" t="str">
        <f>IF('Sortering af spørgsmål'!C8=Projektforudsætninger!$C$25,Arbejdsark!C35,"")</f>
        <v/>
      </c>
      <c r="D16" s="46">
        <f>Arbejdsark!D18</f>
        <v>0</v>
      </c>
      <c r="E16" s="45">
        <f>Arbejdsark!I18</f>
        <v>0</v>
      </c>
      <c r="F16" s="45">
        <f>Arbejdsark!J18</f>
        <v>0</v>
      </c>
      <c r="G16" s="45" t="e">
        <f>Arbejdsark!#REF!</f>
        <v>#REF!</v>
      </c>
      <c r="H16" s="45" t="e">
        <f>Arbejdsark!#REF!</f>
        <v>#REF!</v>
      </c>
      <c r="I16" s="45" t="str">
        <f>IF('Sortering af spørgsmål'!C8=Projektforudsætninger!$C$25,Arbejdsark!K35,"")</f>
        <v/>
      </c>
      <c r="J16" s="41" t="s">
        <v>9</v>
      </c>
      <c r="K16" s="41"/>
      <c r="L16" s="19"/>
      <c r="M16" s="19"/>
      <c r="N16" s="19"/>
      <c r="O16" s="19"/>
      <c r="P16" s="19"/>
      <c r="Q16" s="19"/>
      <c r="R16" s="19"/>
      <c r="S16" s="19"/>
      <c r="T16" s="19"/>
      <c r="U16" s="19"/>
      <c r="AD16" s="294" t="s">
        <v>56</v>
      </c>
      <c r="AF16" s="294" t="s">
        <v>187</v>
      </c>
    </row>
    <row r="17" spans="1:21" ht="170.25" customHeight="1" x14ac:dyDescent="0.45">
      <c r="A17" s="45" t="str">
        <f>Arbejdsark!$A$35</f>
        <v>Vand</v>
      </c>
      <c r="B17" s="43" t="str">
        <f>Arbejdsark!$B$40</f>
        <v>3.2</v>
      </c>
      <c r="C17" s="45" t="str">
        <f>IF('Sortering af spørgsmål'!C8=Projektforudsætninger!$C$25,Arbejdsark!C40,"")</f>
        <v/>
      </c>
      <c r="D17" s="46" t="str">
        <f>Arbejdsark!D20</f>
        <v>ENV1.1 + ENV2.1
Vægtning: 40% af summen af ENV1.1 + ENV2.1 pkt. 1 og 2</v>
      </c>
      <c r="E17" s="45" t="str">
        <f>Arbejdsark!I20</f>
        <v>x</v>
      </c>
      <c r="F17" s="45">
        <f>Arbejdsark!J20</f>
        <v>0</v>
      </c>
      <c r="G17" s="45" t="e">
        <f>Arbejdsark!#REF!</f>
        <v>#REF!</v>
      </c>
      <c r="H17" s="45" t="e">
        <f>Arbejdsark!#REF!</f>
        <v>#REF!</v>
      </c>
      <c r="I17" s="45" t="str">
        <f>IF('Sortering af spørgsmål'!C8=Projektforudsætninger!$C$25,Arbejdsark!K40,"")</f>
        <v/>
      </c>
      <c r="J17" s="41" t="s">
        <v>9</v>
      </c>
      <c r="K17" s="41"/>
      <c r="L17" s="19"/>
      <c r="M17" s="19"/>
      <c r="N17" s="19"/>
      <c r="O17" s="19"/>
      <c r="P17" s="19"/>
      <c r="Q17" s="19"/>
      <c r="R17" s="19"/>
      <c r="S17" s="19"/>
      <c r="T17" s="19"/>
      <c r="U17" s="19"/>
    </row>
    <row r="18" spans="1:21" ht="99.4" customHeight="1" x14ac:dyDescent="0.45">
      <c r="A18" s="45" t="str">
        <f>Arbejdsark!$A$35</f>
        <v>Vand</v>
      </c>
      <c r="B18" s="43" t="str">
        <f>Arbejdsark!$B$45</f>
        <v>3.3</v>
      </c>
      <c r="C18" s="45" t="str">
        <f>IF('Sortering af spørgsmål'!C8=Projektforudsætninger!$C$25,Arbejdsark!C45,"")</f>
        <v/>
      </c>
      <c r="D18" s="46">
        <f>Arbejdsark!D21</f>
        <v>0</v>
      </c>
      <c r="E18" s="45">
        <f>Arbejdsark!I21</f>
        <v>0</v>
      </c>
      <c r="F18" s="45">
        <f>Arbejdsark!J21</f>
        <v>0</v>
      </c>
      <c r="G18" s="45" t="e">
        <f>Arbejdsark!#REF!</f>
        <v>#REF!</v>
      </c>
      <c r="H18" s="45" t="e">
        <f>Arbejdsark!#REF!</f>
        <v>#REF!</v>
      </c>
      <c r="I18" s="45" t="str">
        <f>IF('Sortering af spørgsmål'!$C$8=Projektforudsætninger!$C$25,Arbejdsark!K45,"")</f>
        <v/>
      </c>
      <c r="J18" s="41" t="s">
        <v>9</v>
      </c>
      <c r="K18" s="41"/>
      <c r="L18" s="19"/>
      <c r="M18" s="19"/>
      <c r="N18" s="19"/>
      <c r="O18" s="19"/>
      <c r="P18" s="19"/>
      <c r="Q18" s="19"/>
      <c r="R18" s="19"/>
      <c r="S18" s="19"/>
      <c r="T18" s="19"/>
      <c r="U18" s="19"/>
    </row>
    <row r="19" spans="1:21" ht="28.5" customHeight="1" x14ac:dyDescent="0.45">
      <c r="A19" s="45"/>
      <c r="B19" s="45"/>
      <c r="C19" s="45"/>
      <c r="D19" s="46"/>
      <c r="E19" s="45"/>
      <c r="F19" s="45"/>
      <c r="G19" s="45"/>
      <c r="H19" s="45"/>
      <c r="I19" s="45"/>
      <c r="J19" s="47"/>
      <c r="K19" s="47"/>
      <c r="L19" s="19"/>
      <c r="M19" s="19"/>
      <c r="N19" s="19"/>
      <c r="O19" s="19"/>
      <c r="P19" s="19"/>
      <c r="Q19" s="19"/>
      <c r="R19" s="19"/>
      <c r="S19" s="19"/>
      <c r="T19" s="19"/>
      <c r="U19" s="19"/>
    </row>
    <row r="20" spans="1:21" ht="28.5" customHeight="1" x14ac:dyDescent="0.45">
      <c r="A20" s="49" t="str">
        <f>Arbejdsark!$A$51</f>
        <v>Beplantning</v>
      </c>
      <c r="B20" s="50">
        <v>4</v>
      </c>
      <c r="C20" s="261"/>
      <c r="D20" s="261"/>
      <c r="E20" s="262"/>
      <c r="F20" s="262"/>
      <c r="G20" s="262"/>
      <c r="H20" s="262"/>
      <c r="I20" s="262" t="str">
        <f>IF('Sortering af spørgsmål'!$C$9=Projektforudsætninger!$C$25,"Udfyld spørgsmål","Ingen spørgsmål")</f>
        <v>Ingen spørgsmål</v>
      </c>
      <c r="J20" s="262"/>
      <c r="K20" s="262"/>
      <c r="L20" s="19"/>
      <c r="M20" s="19"/>
      <c r="N20" s="19"/>
      <c r="O20" s="19"/>
      <c r="P20" s="19"/>
      <c r="Q20" s="19"/>
      <c r="R20" s="19"/>
      <c r="S20" s="19"/>
      <c r="T20" s="19"/>
      <c r="U20" s="19"/>
    </row>
    <row r="21" spans="1:21" ht="127.5" customHeight="1" x14ac:dyDescent="0.45">
      <c r="A21" s="45" t="str">
        <f>Arbejdsark!$A$51</f>
        <v>Beplantning</v>
      </c>
      <c r="B21" s="43" t="str">
        <f>Arbejdsark!$B$51</f>
        <v>4.1</v>
      </c>
      <c r="C21" s="45" t="str">
        <f>IF('Sortering af spørgsmål'!C9=Projektforudsætninger!$C$25,Arbejdsark!C51,"")</f>
        <v/>
      </c>
      <c r="D21" s="46">
        <f>Arbejdsark!D23</f>
        <v>0</v>
      </c>
      <c r="E21" s="45">
        <f>Arbejdsark!I23</f>
        <v>0</v>
      </c>
      <c r="F21" s="45">
        <f>Arbejdsark!J23</f>
        <v>0</v>
      </c>
      <c r="G21" s="45" t="e">
        <f>Arbejdsark!#REF!</f>
        <v>#REF!</v>
      </c>
      <c r="H21" s="45" t="e">
        <f>Arbejdsark!#REF!</f>
        <v>#REF!</v>
      </c>
      <c r="I21" s="45" t="str">
        <f>IF('Sortering af spørgsmål'!$C$9=Projektforudsætninger!$C$25,Arbejdsark!K51,"")</f>
        <v/>
      </c>
      <c r="J21" s="41" t="s">
        <v>9</v>
      </c>
      <c r="K21" s="41"/>
      <c r="L21" s="19"/>
      <c r="M21" s="19"/>
      <c r="N21" s="19"/>
      <c r="O21" s="19"/>
      <c r="P21" s="19"/>
      <c r="Q21" s="19"/>
      <c r="R21" s="19"/>
      <c r="S21" s="19"/>
      <c r="T21" s="19"/>
      <c r="U21" s="19"/>
    </row>
    <row r="22" spans="1:21" ht="42.6" customHeight="1" x14ac:dyDescent="0.45">
      <c r="A22" s="45" t="str">
        <f>Arbejdsark!$A$51</f>
        <v>Beplantning</v>
      </c>
      <c r="B22" s="43" t="str">
        <f>Arbejdsark!$B$58</f>
        <v>4.2</v>
      </c>
      <c r="C22" s="45" t="str">
        <f>IF('Sortering af spørgsmål'!C16=Projektforudsætninger!$C$25,Arbejdsark!C58,"")</f>
        <v/>
      </c>
      <c r="D22" s="46"/>
      <c r="E22" s="45"/>
      <c r="F22" s="45"/>
      <c r="G22" s="45"/>
      <c r="H22" s="45"/>
      <c r="I22" s="45" t="str">
        <f>IF('Sortering af spørgsmål'!$C$9=Projektforudsætninger!$C$25,Arbejdsark!K58,"")</f>
        <v/>
      </c>
      <c r="J22" s="41" t="s">
        <v>9</v>
      </c>
      <c r="K22" s="41"/>
      <c r="L22" s="19"/>
      <c r="M22" s="19"/>
      <c r="N22" s="19"/>
      <c r="O22" s="19"/>
      <c r="P22" s="19"/>
      <c r="Q22" s="19"/>
      <c r="R22" s="19"/>
      <c r="S22" s="19"/>
      <c r="T22" s="19"/>
      <c r="U22" s="19"/>
    </row>
    <row r="23" spans="1:21" ht="113.65" customHeight="1" x14ac:dyDescent="0.45">
      <c r="A23" s="45" t="str">
        <f>Arbejdsark!$A$51</f>
        <v>Beplantning</v>
      </c>
      <c r="B23" s="43" t="str">
        <f>Arbejdsark!$B$63</f>
        <v>4.3</v>
      </c>
      <c r="C23" s="45" t="str">
        <f>IF('Sortering af spørgsmål'!C9=Projektforudsætninger!$C$25,Arbejdsark!C63,"")</f>
        <v/>
      </c>
      <c r="D23" s="46">
        <f>Arbejdsark!D24</f>
        <v>0</v>
      </c>
      <c r="E23" s="45">
        <f>Arbejdsark!I24</f>
        <v>0</v>
      </c>
      <c r="F23" s="45">
        <f>Arbejdsark!J24</f>
        <v>0</v>
      </c>
      <c r="G23" s="45" t="e">
        <f>Arbejdsark!#REF!</f>
        <v>#REF!</v>
      </c>
      <c r="H23" s="45" t="e">
        <f>Arbejdsark!#REF!</f>
        <v>#REF!</v>
      </c>
      <c r="I23" s="45" t="str">
        <f>IF('Sortering af spørgsmål'!C9=Projektforudsætninger!$C$25,Arbejdsark!K63,"")</f>
        <v/>
      </c>
      <c r="J23" s="41" t="s">
        <v>9</v>
      </c>
      <c r="K23" s="41"/>
      <c r="L23" s="19"/>
      <c r="M23" s="19"/>
      <c r="N23" s="19"/>
      <c r="O23" s="19"/>
      <c r="P23" s="19"/>
      <c r="Q23" s="19"/>
      <c r="R23" s="19"/>
      <c r="S23" s="19"/>
      <c r="T23" s="19"/>
      <c r="U23" s="19"/>
    </row>
    <row r="24" spans="1:21" ht="113.65" customHeight="1" x14ac:dyDescent="0.45">
      <c r="A24" s="45" t="str">
        <f>Arbejdsark!$A$51</f>
        <v>Beplantning</v>
      </c>
      <c r="B24" s="43" t="str">
        <f>Arbejdsark!$B$68</f>
        <v>4.4</v>
      </c>
      <c r="C24" s="45" t="str">
        <f>IF('Sortering af spørgsmål'!C9=Projektforudsætninger!$C$25,Arbejdsark!C68,"")</f>
        <v/>
      </c>
      <c r="D24" s="46" t="str">
        <f>Arbejdsark!D25</f>
        <v>ENV2.1
Vægtning: ENV2.1 pkt. 3</v>
      </c>
      <c r="E24" s="45" t="str">
        <f>Arbejdsark!I25</f>
        <v>x</v>
      </c>
      <c r="F24" s="45">
        <f>Arbejdsark!J25</f>
        <v>0</v>
      </c>
      <c r="G24" s="45" t="e">
        <f>Arbejdsark!#REF!</f>
        <v>#REF!</v>
      </c>
      <c r="H24" s="45" t="e">
        <f>Arbejdsark!#REF!</f>
        <v>#REF!</v>
      </c>
      <c r="I24" s="45" t="str">
        <f>IF('Sortering af spørgsmål'!$C$9=Projektforudsætninger!$C$25,Arbejdsark!K68,"")</f>
        <v/>
      </c>
      <c r="J24" s="41" t="s">
        <v>9</v>
      </c>
      <c r="K24" s="41"/>
      <c r="L24" s="19"/>
      <c r="M24" s="19"/>
      <c r="N24" s="19"/>
      <c r="O24" s="19"/>
      <c r="P24" s="19"/>
      <c r="Q24" s="19"/>
      <c r="R24" s="19"/>
      <c r="S24" s="19"/>
      <c r="T24" s="19"/>
      <c r="U24" s="19"/>
    </row>
    <row r="25" spans="1:21" x14ac:dyDescent="0.45">
      <c r="A25" s="45"/>
      <c r="B25" s="134"/>
      <c r="C25" s="45"/>
      <c r="D25" s="46"/>
      <c r="E25" s="45"/>
      <c r="F25" s="45"/>
      <c r="G25" s="45"/>
      <c r="H25" s="45"/>
      <c r="I25" s="45"/>
      <c r="J25" s="47"/>
      <c r="K25" s="47"/>
      <c r="L25" s="19"/>
      <c r="M25" s="19"/>
      <c r="N25" s="19"/>
      <c r="O25" s="19"/>
      <c r="P25" s="19"/>
      <c r="Q25" s="19"/>
      <c r="R25" s="19"/>
      <c r="S25" s="19"/>
      <c r="T25" s="19"/>
      <c r="U25" s="19"/>
    </row>
    <row r="26" spans="1:21" ht="28.5" customHeight="1" x14ac:dyDescent="0.45">
      <c r="A26" s="49" t="str">
        <f>Arbejdsark!$A$73</f>
        <v>Bebyggelsestæthed</v>
      </c>
      <c r="B26" s="50">
        <v>5</v>
      </c>
      <c r="C26" s="261"/>
      <c r="D26" s="261"/>
      <c r="E26" s="262"/>
      <c r="F26" s="262"/>
      <c r="G26" s="262"/>
      <c r="H26" s="262"/>
      <c r="I26" s="262" t="str">
        <f>IF('Sortering af spørgsmål'!$C$10=Projektforudsætninger!$C$25,"Udfyld spørgsmål","Ingen spørgsmål")</f>
        <v>Ingen spørgsmål</v>
      </c>
      <c r="J26" s="262"/>
      <c r="K26" s="262"/>
      <c r="L26" s="19"/>
      <c r="M26" s="19"/>
      <c r="N26" s="19"/>
      <c r="O26" s="19"/>
      <c r="P26" s="19"/>
      <c r="Q26" s="19"/>
      <c r="R26" s="19"/>
      <c r="S26" s="19"/>
      <c r="T26" s="19"/>
      <c r="U26" s="19"/>
    </row>
    <row r="27" spans="1:21" ht="198.4" customHeight="1" x14ac:dyDescent="0.45">
      <c r="A27" s="45" t="str">
        <f>Arbejdsark!$A$73</f>
        <v>Bebyggelsestæthed</v>
      </c>
      <c r="B27" s="43" t="str">
        <f>Arbejdsark!$B$73</f>
        <v>5.1</v>
      </c>
      <c r="C27" s="45" t="str">
        <f>IF(Projektforudsætninger!C37=Projektforudsætninger!H7,IF('Sortering af spørgsmål'!C10=Projektforudsætninger!$C$25,Arbejdsark!C73,""),"")</f>
        <v/>
      </c>
      <c r="D27" s="46">
        <f>Arbejdsark!D27</f>
        <v>0</v>
      </c>
      <c r="E27" s="45">
        <f>Arbejdsark!I27</f>
        <v>0</v>
      </c>
      <c r="F27" s="45">
        <f>Arbejdsark!J27</f>
        <v>0</v>
      </c>
      <c r="G27" s="45" t="e">
        <f>Arbejdsark!#REF!</f>
        <v>#REF!</v>
      </c>
      <c r="H27" s="45" t="e">
        <f>Arbejdsark!#REF!</f>
        <v>#REF!</v>
      </c>
      <c r="I27" s="45" t="str">
        <f>IF(Projektforudsætninger!C37=Projektforudsætninger!H7,IF('Sortering af spørgsmål'!$C$10=Projektforudsætninger!$C$25,Arbejdsark!K73,""),"")</f>
        <v/>
      </c>
      <c r="J27" s="41" t="s">
        <v>9</v>
      </c>
      <c r="K27" s="41"/>
      <c r="L27" s="19"/>
      <c r="M27" s="19"/>
      <c r="N27" s="19"/>
      <c r="O27" s="19"/>
      <c r="P27" s="19"/>
      <c r="Q27" s="19"/>
      <c r="R27" s="19"/>
      <c r="S27" s="19"/>
      <c r="T27" s="19"/>
      <c r="U27" s="19"/>
    </row>
    <row r="28" spans="1:21" x14ac:dyDescent="0.45">
      <c r="A28" s="45"/>
      <c r="B28" s="45"/>
      <c r="C28" s="45"/>
      <c r="D28" s="46"/>
      <c r="E28" s="45"/>
      <c r="F28" s="45"/>
      <c r="G28" s="45"/>
      <c r="H28" s="45"/>
      <c r="I28" s="45"/>
      <c r="J28" s="47"/>
      <c r="K28" s="47"/>
      <c r="L28" s="19"/>
      <c r="M28" s="19"/>
      <c r="N28" s="19"/>
      <c r="O28" s="19"/>
      <c r="P28" s="19"/>
      <c r="Q28" s="19"/>
      <c r="R28" s="19"/>
      <c r="S28" s="19"/>
      <c r="T28" s="19"/>
      <c r="U28" s="19"/>
    </row>
    <row r="29" spans="1:21" ht="28.5" customHeight="1" x14ac:dyDescent="0.45">
      <c r="A29" s="49" t="str">
        <f>Arbejdsark!$A$78</f>
        <v>Forurening</v>
      </c>
      <c r="B29" s="50">
        <v>6</v>
      </c>
      <c r="C29" s="261"/>
      <c r="D29" s="261"/>
      <c r="E29" s="262"/>
      <c r="F29" s="262"/>
      <c r="G29" s="262"/>
      <c r="H29" s="262"/>
      <c r="I29" s="262" t="str">
        <f>IF('Sortering af spørgsmål'!$C$11=Projektforudsætninger!$C$25,"Udfyld spørgsmål","Ingen spørgsmål")</f>
        <v>Ingen spørgsmål</v>
      </c>
      <c r="J29" s="262"/>
      <c r="K29" s="262"/>
      <c r="L29" s="19"/>
      <c r="M29" s="19"/>
      <c r="N29" s="19"/>
      <c r="O29" s="19"/>
      <c r="P29" s="19"/>
      <c r="Q29" s="19"/>
      <c r="R29" s="19"/>
      <c r="S29" s="19"/>
      <c r="T29" s="19"/>
      <c r="U29" s="19"/>
    </row>
    <row r="30" spans="1:21" ht="226.9" customHeight="1" x14ac:dyDescent="0.45">
      <c r="A30" s="45" t="str">
        <f>Arbejdsark!$A$78</f>
        <v>Forurening</v>
      </c>
      <c r="B30" s="43" t="str">
        <f>Arbejdsark!$B$78</f>
        <v>6.1</v>
      </c>
      <c r="C30" s="45" t="str">
        <f>IF('Sortering af spørgsmål'!C11=Projektforudsætninger!$C$25,Arbejdsark!C78,"")</f>
        <v/>
      </c>
      <c r="D30" s="46">
        <f>Arbejdsark!D29</f>
        <v>0</v>
      </c>
      <c r="E30" s="45">
        <f>Arbejdsark!I29</f>
        <v>0</v>
      </c>
      <c r="F30" s="45">
        <f>Arbejdsark!J29</f>
        <v>0</v>
      </c>
      <c r="G30" s="45" t="e">
        <f>Arbejdsark!#REF!</f>
        <v>#REF!</v>
      </c>
      <c r="H30" s="45" t="e">
        <f>Arbejdsark!#REF!</f>
        <v>#REF!</v>
      </c>
      <c r="I30" s="45" t="str">
        <f>IF('Sortering af spørgsmål'!$C$11=Projektforudsætninger!$C$25,Arbejdsark!K78,"")</f>
        <v/>
      </c>
      <c r="J30" s="41" t="s">
        <v>9</v>
      </c>
      <c r="K30" s="41"/>
      <c r="L30" s="19"/>
      <c r="M30" s="19"/>
      <c r="N30" s="19"/>
      <c r="O30" s="19"/>
      <c r="P30" s="19"/>
      <c r="Q30" s="19"/>
      <c r="R30" s="19"/>
      <c r="S30" s="19"/>
      <c r="T30" s="19"/>
      <c r="U30" s="19"/>
    </row>
    <row r="31" spans="1:21" ht="198.4" customHeight="1" x14ac:dyDescent="0.45">
      <c r="A31" s="45" t="str">
        <f>Arbejdsark!$A$78</f>
        <v>Forurening</v>
      </c>
      <c r="B31" s="43" t="str">
        <f>Arbejdsark!$B$84</f>
        <v>6.2</v>
      </c>
      <c r="C31" s="45" t="str">
        <f>IF('Sortering af spørgsmål'!C11=Projektforudsætninger!$C$25,Arbejdsark!C84,"")</f>
        <v/>
      </c>
      <c r="D31" s="46">
        <f>Arbejdsark!D31</f>
        <v>0</v>
      </c>
      <c r="E31" s="45">
        <f>Arbejdsark!I31</f>
        <v>0</v>
      </c>
      <c r="F31" s="45">
        <f>Arbejdsark!J31</f>
        <v>0</v>
      </c>
      <c r="G31" s="45" t="e">
        <f>Arbejdsark!#REF!</f>
        <v>#REF!</v>
      </c>
      <c r="H31" s="45" t="e">
        <f>Arbejdsark!#REF!</f>
        <v>#REF!</v>
      </c>
      <c r="I31" s="45" t="str">
        <f>IF('Sortering af spørgsmål'!$C$11=Projektforudsætninger!$C$25,Arbejdsark!K84,"")</f>
        <v/>
      </c>
      <c r="J31" s="41" t="s">
        <v>9</v>
      </c>
      <c r="K31" s="41"/>
      <c r="L31" s="19"/>
      <c r="M31" s="19"/>
      <c r="N31" s="19"/>
      <c r="O31" s="19"/>
      <c r="P31" s="19"/>
      <c r="Q31" s="19"/>
      <c r="R31" s="19"/>
      <c r="S31" s="19"/>
      <c r="T31" s="19"/>
      <c r="U31" s="19"/>
    </row>
    <row r="32" spans="1:21" x14ac:dyDescent="0.45">
      <c r="A32" s="45"/>
      <c r="B32" s="45"/>
      <c r="C32" s="45"/>
      <c r="D32" s="46"/>
      <c r="E32" s="45"/>
      <c r="F32" s="45"/>
      <c r="G32" s="45"/>
      <c r="H32" s="45"/>
      <c r="I32" s="45"/>
      <c r="J32" s="47"/>
      <c r="K32" s="47"/>
      <c r="L32" s="19"/>
      <c r="M32" s="19"/>
      <c r="N32" s="19"/>
      <c r="O32" s="19"/>
      <c r="P32" s="19"/>
      <c r="Q32" s="19"/>
      <c r="R32" s="19"/>
      <c r="S32" s="19"/>
      <c r="T32" s="19"/>
      <c r="U32" s="19"/>
    </row>
    <row r="33" spans="1:30" ht="28.5" customHeight="1" x14ac:dyDescent="0.45">
      <c r="A33" s="66" t="str">
        <f>Arbejdsark!$A$89</f>
        <v>ØKONOMISK  KVALITET</v>
      </c>
      <c r="B33" s="36"/>
      <c r="C33" s="66"/>
      <c r="D33" s="66"/>
      <c r="E33" s="66"/>
      <c r="F33" s="66"/>
      <c r="G33" s="66"/>
      <c r="H33" s="66"/>
      <c r="I33" s="36"/>
      <c r="J33" s="39"/>
      <c r="K33" s="39"/>
      <c r="L33" s="19"/>
      <c r="M33" s="19"/>
      <c r="N33" s="19"/>
      <c r="O33" s="19"/>
      <c r="P33" s="19"/>
      <c r="Q33" s="19"/>
      <c r="R33" s="19"/>
      <c r="S33" s="19"/>
      <c r="T33" s="19"/>
      <c r="U33" s="19"/>
    </row>
    <row r="34" spans="1:30" ht="28.5" customHeight="1" x14ac:dyDescent="0.45">
      <c r="A34" s="58" t="str">
        <f>$A$4</f>
        <v>Tema</v>
      </c>
      <c r="B34" s="58" t="s">
        <v>179</v>
      </c>
      <c r="C34" s="58" t="str">
        <f>$C$4</f>
        <v>Emne</v>
      </c>
      <c r="D34" s="58" t="str">
        <f>D4</f>
        <v>DGNB kriterium</v>
      </c>
      <c r="E34" s="58" t="str">
        <f>E4</f>
        <v>Byggeudvalg eller Hovedbestyrelse</v>
      </c>
      <c r="F34" s="58" t="str">
        <f>F4</f>
        <v>Projektleder</v>
      </c>
      <c r="G34" s="58" t="str">
        <f>G4</f>
        <v>#REFERENCE!</v>
      </c>
      <c r="H34" s="58" t="str">
        <f>H4</f>
        <v>Ikon</v>
      </c>
      <c r="I34" s="58" t="str">
        <f>$I$4</f>
        <v>Spørgsmål</v>
      </c>
      <c r="J34" s="59" t="str">
        <f>$J$4</f>
        <v>Svar</v>
      </c>
      <c r="K34" s="59" t="str">
        <f>$K$4</f>
        <v>Uddybende kommentarer</v>
      </c>
      <c r="L34" s="19"/>
      <c r="M34" s="19"/>
      <c r="N34" s="19"/>
      <c r="O34" s="19"/>
      <c r="P34" s="19"/>
      <c r="Q34" s="19"/>
      <c r="R34" s="19"/>
      <c r="S34" s="19"/>
      <c r="T34" s="19"/>
      <c r="U34" s="19"/>
      <c r="AD34" s="294" t="s">
        <v>24</v>
      </c>
    </row>
    <row r="35" spans="1:30" ht="28.5" customHeight="1" x14ac:dyDescent="0.45">
      <c r="A35" s="66" t="str">
        <f>Arbejdsark!$A$91</f>
        <v>Levetidsomkostninger</v>
      </c>
      <c r="B35" s="36">
        <v>1</v>
      </c>
      <c r="C35" s="66"/>
      <c r="D35" s="66"/>
      <c r="E35" s="66"/>
      <c r="F35" s="66"/>
      <c r="G35" s="66"/>
      <c r="H35" s="66"/>
      <c r="I35" s="36" t="str">
        <f>IF('Sortering af spørgsmål'!$C$12=Projektforudsætninger!$C$25,"Udfyld spørgsmål","Ingen spørgsmål")</f>
        <v>Ingen spørgsmål</v>
      </c>
      <c r="J35" s="39"/>
      <c r="K35" s="39"/>
      <c r="L35" s="19"/>
      <c r="M35" s="19"/>
      <c r="N35" s="19"/>
      <c r="O35" s="19"/>
      <c r="P35" s="19"/>
      <c r="Q35" s="19"/>
      <c r="R35" s="19"/>
      <c r="S35" s="19"/>
      <c r="T35" s="19"/>
      <c r="U35" s="19"/>
      <c r="AD35" s="294" t="s">
        <v>26</v>
      </c>
    </row>
    <row r="36" spans="1:30" ht="170.25" customHeight="1" x14ac:dyDescent="0.45">
      <c r="A36" s="45" t="str">
        <f>Arbejdsark!$A$91</f>
        <v>Levetidsomkostninger</v>
      </c>
      <c r="B36" s="43" t="str">
        <f>Arbejdsark!$B$91</f>
        <v>1.1</v>
      </c>
      <c r="C36" s="45" t="str">
        <f>IF('Sortering af spørgsmål'!C12=Projektforudsætninger!$C$25,Arbejdsark!C91,"")</f>
        <v/>
      </c>
      <c r="D36" s="46" t="str">
        <f>Arbejdsark!D35</f>
        <v>ENV2.2
Vægtning: 20% af ENV2.2</v>
      </c>
      <c r="E36" s="45" t="str">
        <f>Arbejdsark!I35</f>
        <v>x</v>
      </c>
      <c r="F36" s="45">
        <f>Arbejdsark!J35</f>
        <v>0</v>
      </c>
      <c r="G36" s="45" t="e">
        <f>Arbejdsark!#REF!</f>
        <v>#REF!</v>
      </c>
      <c r="H36" s="45" t="e">
        <f>Arbejdsark!#REF!</f>
        <v>#REF!</v>
      </c>
      <c r="I36" s="45" t="str">
        <f>IF('Sortering af spørgsmål'!C12=Projektforudsætninger!$C$25,Arbejdsark!K91,"")</f>
        <v/>
      </c>
      <c r="J36" s="41" t="s">
        <v>9</v>
      </c>
      <c r="K36" s="41"/>
      <c r="L36" s="19"/>
      <c r="M36" s="19"/>
      <c r="N36" s="19"/>
      <c r="O36" s="19"/>
      <c r="P36" s="19"/>
      <c r="Q36" s="19"/>
      <c r="R36" s="19"/>
      <c r="S36" s="19"/>
      <c r="T36" s="19"/>
      <c r="U36" s="19"/>
      <c r="AD36" s="294" t="s">
        <v>28</v>
      </c>
    </row>
    <row r="37" spans="1:30" ht="70.900000000000006" customHeight="1" x14ac:dyDescent="0.45">
      <c r="A37" s="45" t="str">
        <f>Arbejdsark!$A$91</f>
        <v>Levetidsomkostninger</v>
      </c>
      <c r="B37" s="43" t="str">
        <f>Arbejdsark!$B$109</f>
        <v>1.2</v>
      </c>
      <c r="C37" s="45" t="str">
        <f>IF('Sortering af spørgsmål'!C12=Projektforudsætninger!$C$25,Arbejdsark!C109,"")</f>
        <v/>
      </c>
      <c r="D37" s="46">
        <f>Arbejdsark!D37</f>
        <v>0</v>
      </c>
      <c r="E37" s="45">
        <f>Arbejdsark!I37</f>
        <v>0</v>
      </c>
      <c r="F37" s="45">
        <f>Arbejdsark!J37</f>
        <v>0</v>
      </c>
      <c r="G37" s="45" t="e">
        <f>Arbejdsark!#REF!</f>
        <v>#REF!</v>
      </c>
      <c r="H37" s="45" t="e">
        <f>Arbejdsark!#REF!</f>
        <v>#REF!</v>
      </c>
      <c r="I37" s="45" t="str">
        <f>IF('Sortering af spørgsmål'!C12=Projektforudsætninger!$C$25,Arbejdsark!K109,"")</f>
        <v/>
      </c>
      <c r="J37" s="41" t="s">
        <v>9</v>
      </c>
      <c r="K37" s="41"/>
      <c r="L37" s="19"/>
      <c r="M37" s="19"/>
      <c r="N37" s="19"/>
      <c r="O37" s="19"/>
      <c r="P37" s="19"/>
      <c r="Q37" s="19"/>
      <c r="R37" s="19"/>
      <c r="S37" s="19"/>
      <c r="T37" s="19"/>
      <c r="U37" s="19"/>
      <c r="AD37" s="294" t="s">
        <v>31</v>
      </c>
    </row>
    <row r="38" spans="1:30" ht="23.25" x14ac:dyDescent="0.45">
      <c r="A38" s="45"/>
      <c r="B38" s="45"/>
      <c r="C38" s="45"/>
      <c r="D38" s="46"/>
      <c r="E38" s="45"/>
      <c r="F38" s="45"/>
      <c r="G38" s="45"/>
      <c r="H38" s="45"/>
      <c r="I38" s="45"/>
      <c r="J38" s="47"/>
      <c r="K38" s="47"/>
      <c r="L38" s="19"/>
      <c r="M38" s="19"/>
      <c r="N38" s="19"/>
      <c r="O38" s="19"/>
      <c r="P38" s="19"/>
      <c r="Q38" s="19"/>
      <c r="R38" s="19"/>
      <c r="S38" s="19"/>
      <c r="T38" s="19"/>
      <c r="U38" s="19"/>
      <c r="AD38" s="294" t="s">
        <v>33</v>
      </c>
    </row>
    <row r="39" spans="1:30" ht="28.5" customHeight="1" x14ac:dyDescent="0.45">
      <c r="A39" s="66" t="str">
        <f>Arbejdsark!$A$114</f>
        <v>Fleksibilitet</v>
      </c>
      <c r="B39" s="36" t="str">
        <f>Arbejdsark!$B$114</f>
        <v>2.1</v>
      </c>
      <c r="C39" s="66"/>
      <c r="D39" s="66"/>
      <c r="E39" s="66"/>
      <c r="F39" s="66"/>
      <c r="G39" s="66"/>
      <c r="H39" s="66"/>
      <c r="I39" s="36" t="str">
        <f>IF('Sortering af spørgsmål'!$C$13=Projektforudsætninger!$C$25,"Udfyld spørgsmål","Ingen spørgsmål")</f>
        <v>Ingen spørgsmål</v>
      </c>
      <c r="J39" s="39"/>
      <c r="K39" s="39"/>
      <c r="L39" s="19"/>
      <c r="M39" s="19"/>
      <c r="N39" s="19"/>
      <c r="O39" s="19"/>
      <c r="P39" s="19"/>
      <c r="Q39" s="19"/>
      <c r="R39" s="19"/>
      <c r="S39" s="19"/>
      <c r="T39" s="19"/>
      <c r="U39" s="19"/>
      <c r="AD39" s="294" t="s">
        <v>35</v>
      </c>
    </row>
    <row r="40" spans="1:30" ht="170.25" customHeight="1" x14ac:dyDescent="0.45">
      <c r="A40" s="45" t="str">
        <f>Arbejdsark!$A$114</f>
        <v>Fleksibilitet</v>
      </c>
      <c r="B40" s="43" t="str">
        <f>Arbejdsark!$B$114</f>
        <v>2.1</v>
      </c>
      <c r="C40" s="45" t="str">
        <f>IF('Sortering af spørgsmål'!C13=Projektforudsætninger!$C$25,Arbejdsark!C114,"")</f>
        <v/>
      </c>
      <c r="D40" s="46">
        <f>Arbejdsark!D39</f>
        <v>0</v>
      </c>
      <c r="E40" s="45">
        <f>Arbejdsark!I39</f>
        <v>0</v>
      </c>
      <c r="F40" s="45">
        <f>Arbejdsark!J39</f>
        <v>0</v>
      </c>
      <c r="G40" s="45" t="e">
        <f>Arbejdsark!#REF!</f>
        <v>#REF!</v>
      </c>
      <c r="H40" s="45" t="e">
        <f>Arbejdsark!#REF!</f>
        <v>#REF!</v>
      </c>
      <c r="I40" s="45" t="str">
        <f>IF('Sortering af spørgsmål'!$C$13=Projektforudsætninger!$C$25,Arbejdsark!K114,"")</f>
        <v/>
      </c>
      <c r="J40" s="41" t="s">
        <v>9</v>
      </c>
      <c r="K40" s="41"/>
      <c r="L40" s="19"/>
      <c r="M40" s="19"/>
      <c r="N40" s="19"/>
      <c r="O40" s="19"/>
      <c r="P40" s="19"/>
      <c r="Q40" s="19"/>
      <c r="R40" s="19"/>
      <c r="S40" s="19"/>
      <c r="T40" s="19"/>
      <c r="U40" s="19"/>
      <c r="AD40" s="294" t="s">
        <v>37</v>
      </c>
    </row>
    <row r="41" spans="1:30" ht="198.4" customHeight="1" x14ac:dyDescent="0.45">
      <c r="A41" s="45" t="str">
        <f>Arbejdsark!$A$114</f>
        <v>Fleksibilitet</v>
      </c>
      <c r="B41" s="43" t="str">
        <f>Arbejdsark!$B$119</f>
        <v>2.2</v>
      </c>
      <c r="C41" s="45" t="str">
        <f>IF('Sortering af spørgsmål'!C13=Projektforudsætninger!$C$25,Arbejdsark!C119,"")</f>
        <v/>
      </c>
      <c r="D41" s="46" t="str">
        <f>Arbejdsark!D40</f>
        <v>ENV2.2
Vægtning: 20% af ENV2.2</v>
      </c>
      <c r="E41" s="45" t="str">
        <f>Arbejdsark!I40</f>
        <v>x</v>
      </c>
      <c r="F41" s="45">
        <f>Arbejdsark!J40</f>
        <v>0</v>
      </c>
      <c r="G41" s="45" t="e">
        <f>Arbejdsark!#REF!</f>
        <v>#REF!</v>
      </c>
      <c r="H41" s="45" t="e">
        <f>Arbejdsark!#REF!</f>
        <v>#REF!</v>
      </c>
      <c r="I41" s="45" t="str">
        <f>IF('Sortering af spørgsmål'!$C$13=Projektforudsætninger!$C$25,Arbejdsark!K119,"")</f>
        <v/>
      </c>
      <c r="J41" s="41" t="s">
        <v>9</v>
      </c>
      <c r="K41" s="41"/>
      <c r="L41" s="19"/>
      <c r="M41" s="19"/>
      <c r="N41" s="19"/>
      <c r="O41" s="19"/>
      <c r="P41" s="19"/>
      <c r="Q41" s="19"/>
      <c r="R41" s="19"/>
      <c r="S41" s="19"/>
      <c r="T41" s="19"/>
      <c r="U41" s="19"/>
      <c r="AD41" s="294" t="s">
        <v>42</v>
      </c>
    </row>
    <row r="42" spans="1:30" ht="198.4" customHeight="1" x14ac:dyDescent="0.45">
      <c r="A42" s="45" t="str">
        <f>Arbejdsark!$A$114</f>
        <v>Fleksibilitet</v>
      </c>
      <c r="B42" s="43" t="str">
        <f>Arbejdsark!$B$124</f>
        <v>2.3</v>
      </c>
      <c r="C42" s="45" t="str">
        <f>IF('Sortering af spørgsmål'!C13=Projektforudsætninger!$C$25,Arbejdsark!C124,"")</f>
        <v/>
      </c>
      <c r="D42" s="46">
        <f>Arbejdsark!D41</f>
        <v>0</v>
      </c>
      <c r="E42" s="45">
        <f>Arbejdsark!I41</f>
        <v>0</v>
      </c>
      <c r="F42" s="45">
        <f>Arbejdsark!J41</f>
        <v>0</v>
      </c>
      <c r="G42" s="45" t="e">
        <f>Arbejdsark!#REF!</f>
        <v>#REF!</v>
      </c>
      <c r="H42" s="45" t="e">
        <f>Arbejdsark!#REF!</f>
        <v>#REF!</v>
      </c>
      <c r="I42" s="45" t="str">
        <f>IF('Sortering af spørgsmål'!C13=Projektforudsætninger!$C$25,Arbejdsark!K124,"")</f>
        <v/>
      </c>
      <c r="J42" s="41" t="s">
        <v>9</v>
      </c>
      <c r="K42" s="41"/>
      <c r="L42" s="19"/>
      <c r="M42" s="19"/>
      <c r="N42" s="19"/>
      <c r="O42" s="19"/>
      <c r="P42" s="19"/>
      <c r="Q42" s="19"/>
      <c r="R42" s="19"/>
      <c r="S42" s="19"/>
      <c r="T42" s="19"/>
      <c r="U42" s="19"/>
      <c r="AD42" s="294" t="s">
        <v>45</v>
      </c>
    </row>
    <row r="43" spans="1:30" ht="255.4" customHeight="1" x14ac:dyDescent="0.45">
      <c r="A43" s="45" t="str">
        <f>Arbejdsark!$A$114</f>
        <v>Fleksibilitet</v>
      </c>
      <c r="B43" s="43" t="str">
        <f>Arbejdsark!$B$129</f>
        <v>2.4</v>
      </c>
      <c r="C43" s="45" t="str">
        <f>IF('Sortering af spørgsmål'!C13=Projektforudsætninger!$C$25,Arbejdsark!C129,"")</f>
        <v/>
      </c>
      <c r="D43" s="46">
        <f>Arbejdsark!D42</f>
        <v>0</v>
      </c>
      <c r="E43" s="45">
        <f>Arbejdsark!I42</f>
        <v>0</v>
      </c>
      <c r="F43" s="45">
        <f>Arbejdsark!J42</f>
        <v>0</v>
      </c>
      <c r="G43" s="45" t="e">
        <f>Arbejdsark!#REF!</f>
        <v>#REF!</v>
      </c>
      <c r="H43" s="45" t="e">
        <f>Arbejdsark!#REF!</f>
        <v>#REF!</v>
      </c>
      <c r="I43" s="45" t="str">
        <f>IF('Sortering af spørgsmål'!C13=Projektforudsætninger!$C$25,Arbejdsark!K129,"")</f>
        <v/>
      </c>
      <c r="J43" s="41" t="s">
        <v>9</v>
      </c>
      <c r="K43" s="41"/>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spørgsmål'!C13=Projektforudsætninger!$C$25,Arbejdsark!C134,"")</f>
        <v/>
      </c>
      <c r="D44" s="46">
        <f>Arbejdsark!D43</f>
        <v>0</v>
      </c>
      <c r="E44" s="45">
        <f>Arbejdsark!I43</f>
        <v>0</v>
      </c>
      <c r="F44" s="45">
        <f>Arbejdsark!J43</f>
        <v>0</v>
      </c>
      <c r="G44" s="45" t="e">
        <f>Arbejdsark!#REF!</f>
        <v>#REF!</v>
      </c>
      <c r="H44" s="45" t="e">
        <f>Arbejdsark!#REF!</f>
        <v>#REF!</v>
      </c>
      <c r="I44" s="45" t="str">
        <f>IF('Sortering af spørgsmål'!C13=Projektforudsætninger!$C$25,Arbejdsark!K134,"")</f>
        <v/>
      </c>
      <c r="J44" s="41" t="s">
        <v>9</v>
      </c>
      <c r="K44" s="41"/>
      <c r="L44" s="19"/>
      <c r="M44" s="19"/>
      <c r="N44" s="19"/>
      <c r="O44" s="19"/>
      <c r="P44" s="19"/>
      <c r="Q44" s="19"/>
      <c r="R44" s="19"/>
      <c r="S44" s="19"/>
      <c r="T44" s="19"/>
      <c r="U44" s="19"/>
    </row>
    <row r="45" spans="1:30" ht="141.75" customHeight="1" x14ac:dyDescent="0.45">
      <c r="A45" s="45" t="str">
        <f>Arbejdsark!$A$114</f>
        <v>Fleksibilitet</v>
      </c>
      <c r="B45" s="43" t="str">
        <f>Arbejdsark!$B$139</f>
        <v>2.6</v>
      </c>
      <c r="C45" s="45" t="str">
        <f>IF('Sortering af spørgsmål'!C13=Projektforudsætninger!$C$25,Arbejdsark!C139,"")</f>
        <v/>
      </c>
      <c r="D45" s="46">
        <f>Arbejdsark!D44</f>
        <v>0</v>
      </c>
      <c r="E45" s="45">
        <f>Arbejdsark!I44</f>
        <v>0</v>
      </c>
      <c r="F45" s="45">
        <f>Arbejdsark!J44</f>
        <v>0</v>
      </c>
      <c r="G45" s="45" t="e">
        <f>Arbejdsark!#REF!</f>
        <v>#REF!</v>
      </c>
      <c r="H45" s="45" t="e">
        <f>Arbejdsark!#REF!</f>
        <v>#REF!</v>
      </c>
      <c r="I45" s="45" t="str">
        <f>IF('Sortering af spørgsmål'!C13=Projektforudsætninger!$C$25,Arbejdsark!K139,"")</f>
        <v/>
      </c>
      <c r="J45" s="41" t="s">
        <v>9</v>
      </c>
      <c r="K45" s="41"/>
      <c r="L45" s="19"/>
      <c r="M45" s="19"/>
      <c r="N45" s="19"/>
      <c r="O45" s="19"/>
      <c r="P45" s="19"/>
      <c r="Q45" s="19"/>
      <c r="R45" s="19"/>
      <c r="S45" s="19"/>
      <c r="T45" s="19"/>
      <c r="U45" s="19"/>
    </row>
    <row r="46" spans="1:30" ht="198.4" customHeight="1" x14ac:dyDescent="0.45">
      <c r="A46" s="45" t="str">
        <f>Arbejdsark!$A$114</f>
        <v>Fleksibilitet</v>
      </c>
      <c r="B46" s="43" t="str">
        <f>Arbejdsark!$B$144</f>
        <v>2.7</v>
      </c>
      <c r="C46" s="45" t="str">
        <f>IF('Sortering af spørgsmål'!C13=Projektforudsætninger!$C$25,Arbejdsark!C144,"")</f>
        <v/>
      </c>
      <c r="D46" s="46"/>
      <c r="E46" s="45"/>
      <c r="F46" s="45"/>
      <c r="G46" s="45"/>
      <c r="H46" s="45"/>
      <c r="I46" s="45" t="str">
        <f>IF('Sortering af spørgsmål'!C13=Projektforudsætninger!$C$25,Arbejdsark!K144,"")</f>
        <v/>
      </c>
      <c r="J46" s="41" t="s">
        <v>9</v>
      </c>
      <c r="K46" s="41"/>
      <c r="L46" s="19"/>
      <c r="M46" s="19"/>
      <c r="N46" s="19"/>
      <c r="O46" s="19"/>
      <c r="P46" s="19"/>
      <c r="Q46" s="19"/>
      <c r="R46" s="19"/>
      <c r="S46" s="19"/>
      <c r="T46" s="19"/>
      <c r="U46" s="19"/>
    </row>
    <row r="47" spans="1:30" ht="170.25" customHeight="1" x14ac:dyDescent="0.45">
      <c r="A47" s="45" t="str">
        <f>Arbejdsark!$A$114</f>
        <v>Fleksibilitet</v>
      </c>
      <c r="B47" s="43" t="str">
        <f>Arbejdsark!$B$149</f>
        <v>2.8</v>
      </c>
      <c r="C47" s="45" t="str">
        <f>IF('Sortering af spørgsmål'!C13=Projektforudsætninger!$C$25,Arbejdsark!C149,"")</f>
        <v/>
      </c>
      <c r="D47" s="46" t="str">
        <f>Arbejdsark!D45</f>
        <v>ENV2.2
Vægtning: 60% af ENV2.2</v>
      </c>
      <c r="E47" s="45" t="str">
        <f>Arbejdsark!I45</f>
        <v>x</v>
      </c>
      <c r="F47" s="45">
        <f>Arbejdsark!J45</f>
        <v>0</v>
      </c>
      <c r="G47" s="45" t="e">
        <f>Arbejdsark!#REF!</f>
        <v>#REF!</v>
      </c>
      <c r="H47" s="45" t="e">
        <f>Arbejdsark!#REF!</f>
        <v>#REF!</v>
      </c>
      <c r="I47" s="45" t="str">
        <f>IF('Sortering af spørgsmål'!C13=Projektforudsætninger!$C$25,Arbejdsark!K149,"")</f>
        <v/>
      </c>
      <c r="J47" s="41" t="s">
        <v>9</v>
      </c>
      <c r="K47" s="41"/>
      <c r="L47" s="19"/>
      <c r="M47" s="19"/>
      <c r="N47" s="19"/>
      <c r="O47" s="19"/>
      <c r="P47" s="19"/>
      <c r="Q47" s="19"/>
      <c r="R47" s="19"/>
      <c r="S47" s="19"/>
      <c r="T47" s="19"/>
      <c r="U47" s="19"/>
    </row>
    <row r="48" spans="1:30" x14ac:dyDescent="0.45">
      <c r="A48" s="45"/>
      <c r="B48" s="45"/>
      <c r="C48" s="45"/>
      <c r="D48" s="46"/>
      <c r="E48" s="45"/>
      <c r="F48" s="45"/>
      <c r="G48" s="45"/>
      <c r="H48" s="45"/>
      <c r="I48" s="45"/>
      <c r="J48" s="47"/>
      <c r="K48" s="47"/>
      <c r="L48" s="19"/>
      <c r="M48" s="19"/>
      <c r="N48" s="19"/>
      <c r="O48" s="19"/>
      <c r="P48" s="19"/>
      <c r="Q48" s="19"/>
      <c r="R48" s="19"/>
      <c r="S48" s="19"/>
      <c r="T48" s="19"/>
      <c r="U48" s="19"/>
    </row>
    <row r="49" spans="1:21" ht="28.5" customHeight="1" x14ac:dyDescent="0.45">
      <c r="A49" s="66" t="str">
        <f>Arbejdsark!$A$154</f>
        <v>Robusthed</v>
      </c>
      <c r="B49" s="36">
        <v>3</v>
      </c>
      <c r="C49" s="66"/>
      <c r="D49" s="66"/>
      <c r="E49" s="66"/>
      <c r="F49" s="66"/>
      <c r="G49" s="66"/>
      <c r="H49" s="66"/>
      <c r="I49" s="36" t="str">
        <f>IF('Sortering af spørgsmål'!$C$14=Projektforudsætninger!$C$25,"Udfyld spørgsmål","Ingen spørgsmål")</f>
        <v>Ingen spørgsmål</v>
      </c>
      <c r="J49" s="39"/>
      <c r="K49" s="39"/>
      <c r="L49" s="19"/>
      <c r="M49" s="19"/>
      <c r="N49" s="19"/>
      <c r="O49" s="19"/>
      <c r="P49" s="19"/>
      <c r="Q49" s="19"/>
      <c r="R49" s="19"/>
      <c r="S49" s="19"/>
      <c r="T49" s="19"/>
      <c r="U49" s="19"/>
    </row>
    <row r="50" spans="1:21" ht="70.900000000000006" customHeight="1" x14ac:dyDescent="0.45">
      <c r="A50" s="45" t="str">
        <f>Arbejdsark!$A$154</f>
        <v>Robusthed</v>
      </c>
      <c r="B50" s="43" t="str">
        <f>Arbejdsark!$B$154</f>
        <v>3.1</v>
      </c>
      <c r="C50" s="45" t="str">
        <f>IF('Sortering af spørgsmål'!$C$14=Projektforudsætninger!$C$25,Arbejdsark!C154,"")</f>
        <v/>
      </c>
      <c r="D50" s="46">
        <f>Arbejdsark!D47</f>
        <v>0</v>
      </c>
      <c r="E50" s="45">
        <f>Arbejdsark!I47</f>
        <v>0</v>
      </c>
      <c r="F50" s="45">
        <f>Arbejdsark!J47</f>
        <v>0</v>
      </c>
      <c r="G50" s="45" t="e">
        <f>Arbejdsark!#REF!</f>
        <v>#REF!</v>
      </c>
      <c r="H50" s="45" t="e">
        <f>Arbejdsark!#REF!</f>
        <v>#REF!</v>
      </c>
      <c r="I50" s="45" t="str">
        <f>IF('Sortering af spørgsmål'!$C$14=Projektforudsætninger!$C$25,Arbejdsark!K154,"")</f>
        <v/>
      </c>
      <c r="J50" s="41" t="s">
        <v>9</v>
      </c>
      <c r="K50" s="41"/>
      <c r="L50" s="19"/>
      <c r="M50" s="19"/>
      <c r="N50" s="19"/>
      <c r="O50" s="19"/>
      <c r="P50" s="19"/>
      <c r="Q50" s="19"/>
      <c r="R50" s="19"/>
      <c r="S50" s="19"/>
      <c r="T50" s="19"/>
      <c r="U50" s="19"/>
    </row>
    <row r="51" spans="1:21" ht="70.900000000000006" customHeight="1" x14ac:dyDescent="0.45">
      <c r="A51" s="45" t="str">
        <f>Arbejdsark!$A$154</f>
        <v>Robusthed</v>
      </c>
      <c r="B51" s="43" t="str">
        <f>Arbejdsark!$B$159</f>
        <v>3.2</v>
      </c>
      <c r="C51" s="45" t="str">
        <f>IF('Sortering af spørgsmål'!$C$14=Projektforudsætninger!$C$25,Arbejdsark!C159,"")</f>
        <v/>
      </c>
      <c r="D51" s="46">
        <f>Arbejdsark!D50</f>
        <v>0</v>
      </c>
      <c r="E51" s="45">
        <f>Arbejdsark!I50</f>
        <v>0</v>
      </c>
      <c r="F51" s="45">
        <f>Arbejdsark!J50</f>
        <v>0</v>
      </c>
      <c r="G51" s="45" t="e">
        <f>Arbejdsark!#REF!</f>
        <v>#REF!</v>
      </c>
      <c r="H51" s="45" t="e">
        <f>Arbejdsark!#REF!</f>
        <v>#REF!</v>
      </c>
      <c r="I51" s="45" t="str">
        <f>IF('Sortering af spørgsmål'!$C$14=Projektforudsætninger!$C$25,Arbejdsark!K159,"")</f>
        <v/>
      </c>
      <c r="J51" s="41" t="s">
        <v>9</v>
      </c>
      <c r="K51" s="41"/>
      <c r="L51" s="19"/>
      <c r="M51" s="19"/>
      <c r="N51" s="19"/>
      <c r="O51" s="19"/>
      <c r="P51" s="19"/>
      <c r="Q51" s="19"/>
      <c r="R51" s="19"/>
      <c r="S51" s="19"/>
      <c r="T51" s="19"/>
      <c r="U51" s="19"/>
    </row>
    <row r="52" spans="1:21" x14ac:dyDescent="0.45">
      <c r="A52" s="45"/>
      <c r="B52" s="45"/>
      <c r="C52" s="45"/>
      <c r="D52" s="46"/>
      <c r="E52" s="45"/>
      <c r="F52" s="45"/>
      <c r="G52" s="45"/>
      <c r="H52" s="45"/>
      <c r="I52" s="45"/>
      <c r="J52" s="47"/>
      <c r="K52" s="47"/>
      <c r="L52" s="19"/>
      <c r="M52" s="19"/>
      <c r="N52" s="19"/>
      <c r="O52" s="19"/>
      <c r="P52" s="19"/>
      <c r="Q52" s="19"/>
      <c r="R52" s="19"/>
      <c r="S52" s="19"/>
      <c r="T52" s="19"/>
      <c r="U52" s="19"/>
    </row>
    <row r="53" spans="1:21" ht="28.5" customHeight="1" x14ac:dyDescent="0.45">
      <c r="A53" s="56" t="str">
        <f>Arbejdsark!$A$165</f>
        <v>SOCIAL KVALITET</v>
      </c>
      <c r="B53" s="56"/>
      <c r="C53" s="56"/>
      <c r="D53" s="56"/>
      <c r="E53" s="56"/>
      <c r="F53" s="56"/>
      <c r="G53" s="56"/>
      <c r="H53" s="56"/>
      <c r="I53" s="57"/>
      <c r="J53" s="54"/>
      <c r="K53" s="54"/>
      <c r="L53" s="19"/>
      <c r="M53" s="19"/>
      <c r="N53" s="19"/>
      <c r="O53" s="19"/>
      <c r="P53" s="19"/>
      <c r="Q53" s="19"/>
      <c r="R53" s="19"/>
      <c r="S53" s="19"/>
      <c r="T53" s="19"/>
      <c r="U53" s="19"/>
    </row>
    <row r="54" spans="1:21" ht="28.5" customHeight="1" x14ac:dyDescent="0.45">
      <c r="A54" s="58" t="str">
        <f>$A$4</f>
        <v>Tema</v>
      </c>
      <c r="B54" s="58" t="s">
        <v>179</v>
      </c>
      <c r="C54" s="58" t="str">
        <f t="shared" ref="C54:I54" si="0">C4</f>
        <v>Emne</v>
      </c>
      <c r="D54" s="58" t="str">
        <f t="shared" si="0"/>
        <v>DGNB kriterium</v>
      </c>
      <c r="E54" s="58" t="str">
        <f t="shared" si="0"/>
        <v>Byggeudvalg eller Hovedbestyrelse</v>
      </c>
      <c r="F54" s="58" t="str">
        <f t="shared" si="0"/>
        <v>Projektleder</v>
      </c>
      <c r="G54" s="58" t="str">
        <f t="shared" si="0"/>
        <v>#REFERENCE!</v>
      </c>
      <c r="H54" s="58" t="str">
        <f t="shared" si="0"/>
        <v>Ikon</v>
      </c>
      <c r="I54" s="58" t="str">
        <f t="shared" si="0"/>
        <v>Spørgsmål</v>
      </c>
      <c r="J54" s="59" t="str">
        <f>$J$4</f>
        <v>Svar</v>
      </c>
      <c r="K54" s="59" t="str">
        <f>K4</f>
        <v>Uddybende kommentarer</v>
      </c>
      <c r="L54" s="19"/>
      <c r="M54" s="19"/>
      <c r="N54" s="19"/>
      <c r="O54" s="19"/>
      <c r="P54" s="19"/>
      <c r="Q54" s="19"/>
      <c r="R54" s="19"/>
      <c r="S54" s="19"/>
      <c r="T54" s="19"/>
      <c r="U54" s="19"/>
    </row>
    <row r="55" spans="1:21" ht="28.5" customHeight="1" x14ac:dyDescent="0.45">
      <c r="A55" s="56" t="str">
        <f>Arbejdsark!$A$167</f>
        <v>Indeklima</v>
      </c>
      <c r="B55" s="56">
        <v>1</v>
      </c>
      <c r="C55" s="56"/>
      <c r="D55" s="56"/>
      <c r="E55" s="56"/>
      <c r="F55" s="56"/>
      <c r="G55" s="56"/>
      <c r="H55" s="56"/>
      <c r="I55" s="57" t="str">
        <f>IF('Sortering af spørgsmål'!$C$15=Projektforudsætninger!$C$25,"Udfyld spørgsmål","Ingen spørgsmål")</f>
        <v>Ingen spørgsmål</v>
      </c>
      <c r="J55" s="54"/>
      <c r="K55" s="54"/>
      <c r="L55" s="19"/>
      <c r="M55" s="19"/>
      <c r="N55" s="19"/>
      <c r="O55" s="19"/>
      <c r="P55" s="19"/>
      <c r="Q55" s="19"/>
      <c r="R55" s="19"/>
      <c r="S55" s="19"/>
      <c r="T55" s="19"/>
      <c r="U55" s="19"/>
    </row>
    <row r="56" spans="1:21" ht="170.25" customHeight="1" x14ac:dyDescent="0.45">
      <c r="A56" s="45" t="str">
        <f>Arbejdsark!$A$167</f>
        <v>Indeklima</v>
      </c>
      <c r="B56" s="43" t="str">
        <f>Arbejdsark!$B$167</f>
        <v>1.1</v>
      </c>
      <c r="C56" s="45" t="str">
        <f>IF('Sortering af spørgsmål'!$C$15=Projektforudsætninger!$C$25,Arbejdsark!C167,"")</f>
        <v/>
      </c>
      <c r="D56" s="46">
        <f>Arbejdsark!D57</f>
        <v>0</v>
      </c>
      <c r="E56" s="45">
        <f>Arbejdsark!I57</f>
        <v>0</v>
      </c>
      <c r="F56" s="45">
        <f>Arbejdsark!J57</f>
        <v>0</v>
      </c>
      <c r="G56" s="45" t="e">
        <f>Arbejdsark!#REF!</f>
        <v>#REF!</v>
      </c>
      <c r="H56" s="45" t="e">
        <f>Arbejdsark!#REF!</f>
        <v>#REF!</v>
      </c>
      <c r="I56" s="45" t="str">
        <f>IF('Sortering af spørgsmål'!$C$15=Projektforudsætninger!$C$25,Arbejdsark!K167,"")</f>
        <v/>
      </c>
      <c r="J56" s="41" t="s">
        <v>9</v>
      </c>
      <c r="K56" s="41"/>
      <c r="L56" s="19"/>
      <c r="M56" s="19"/>
      <c r="N56" s="19"/>
      <c r="O56" s="19"/>
      <c r="P56" s="19"/>
      <c r="Q56" s="19"/>
      <c r="R56" s="19"/>
      <c r="S56" s="19"/>
      <c r="T56" s="19"/>
      <c r="U56" s="19"/>
    </row>
    <row r="57" spans="1:21" ht="113.65" customHeight="1" x14ac:dyDescent="0.45">
      <c r="A57" s="58" t="str">
        <f>Arbejdsark!$A$167</f>
        <v>Indeklima</v>
      </c>
      <c r="B57" s="43" t="str">
        <f>Arbejdsark!$B$172</f>
        <v>1.2</v>
      </c>
      <c r="C57" s="45" t="str">
        <f>IF('Sortering af spørgsmål'!$C$15=Projektforudsætninger!$C$25,Arbejdsark!C172,"")</f>
        <v/>
      </c>
      <c r="D57" s="46" t="str">
        <f>Arbejdsark!D58</f>
        <v>Vægtning: SOC1.6 pkt. 2.4</v>
      </c>
      <c r="E57" s="45" t="str">
        <f>Arbejdsark!I58</f>
        <v>x</v>
      </c>
      <c r="F57" s="45">
        <f>Arbejdsark!J58</f>
        <v>0</v>
      </c>
      <c r="G57" s="45" t="e">
        <f>Arbejdsark!#REF!</f>
        <v>#REF!</v>
      </c>
      <c r="H57" s="45" t="e">
        <f>Arbejdsark!#REF!</f>
        <v>#REF!</v>
      </c>
      <c r="I57" s="45" t="str">
        <f>IF('Sortering af spørgsmål'!$C$15=Projektforudsætninger!$C$25,Arbejdsark!K172,"")</f>
        <v/>
      </c>
      <c r="J57" s="41" t="s">
        <v>9</v>
      </c>
      <c r="K57" s="41"/>
      <c r="L57" s="19"/>
      <c r="M57" s="19"/>
      <c r="N57" s="19"/>
      <c r="O57" s="19"/>
      <c r="P57" s="19"/>
      <c r="Q57" s="19"/>
      <c r="R57" s="19"/>
      <c r="S57" s="19"/>
      <c r="T57" s="19"/>
      <c r="U57" s="19"/>
    </row>
    <row r="58" spans="1:21" ht="113.65" customHeight="1" x14ac:dyDescent="0.45">
      <c r="A58" s="45" t="str">
        <f>Arbejdsark!$A$167</f>
        <v>Indeklima</v>
      </c>
      <c r="B58" s="43" t="str">
        <f>Arbejdsark!$B$177</f>
        <v>1.3</v>
      </c>
      <c r="C58" s="45" t="str">
        <f>IF('Sortering af spørgsmål'!$C$15=Projektforudsætninger!$C$25,Arbejdsark!C177,"")</f>
        <v/>
      </c>
      <c r="D58" s="46">
        <f>Arbejdsark!D59</f>
        <v>0</v>
      </c>
      <c r="E58" s="45">
        <f>Arbejdsark!I59</f>
        <v>0</v>
      </c>
      <c r="F58" s="45">
        <f>Arbejdsark!J59</f>
        <v>0</v>
      </c>
      <c r="G58" s="45" t="e">
        <f>Arbejdsark!#REF!</f>
        <v>#REF!</v>
      </c>
      <c r="H58" s="45" t="e">
        <f>Arbejdsark!#REF!</f>
        <v>#REF!</v>
      </c>
      <c r="I58" s="45" t="str">
        <f>IF('Sortering af spørgsmål'!$C$15=Projektforudsætninger!$C$25,Arbejdsark!K177,"")</f>
        <v/>
      </c>
      <c r="J58" s="41" t="s">
        <v>9</v>
      </c>
      <c r="K58" s="41"/>
      <c r="L58" s="19"/>
      <c r="M58" s="19"/>
      <c r="N58" s="19"/>
      <c r="O58" s="19"/>
      <c r="P58" s="19"/>
      <c r="Q58" s="19"/>
      <c r="R58" s="19"/>
      <c r="S58" s="19"/>
      <c r="T58" s="19"/>
      <c r="U58" s="19"/>
    </row>
    <row r="59" spans="1:21" ht="170.25" customHeight="1" x14ac:dyDescent="0.45">
      <c r="A59" s="45" t="str">
        <f>Arbejdsark!$A$167</f>
        <v>Indeklima</v>
      </c>
      <c r="B59" s="43" t="str">
        <f>Arbejdsark!$B$182</f>
        <v>1.4</v>
      </c>
      <c r="C59" s="45" t="str">
        <f>IF('Sortering af spørgsmål'!$C$15=Projektforudsætninger!$C$25,Arbejdsark!C182,"")</f>
        <v/>
      </c>
      <c r="D59" s="46" t="str">
        <f>Arbejdsark!D58</f>
        <v>Vægtning: SOC1.6 pkt. 2.4</v>
      </c>
      <c r="E59" s="45" t="str">
        <f>Arbejdsark!I58</f>
        <v>x</v>
      </c>
      <c r="F59" s="45">
        <f>Arbejdsark!J58</f>
        <v>0</v>
      </c>
      <c r="G59" s="45" t="e">
        <f>Arbejdsark!#REF!</f>
        <v>#REF!</v>
      </c>
      <c r="H59" s="45" t="e">
        <f>Arbejdsark!#REF!</f>
        <v>#REF!</v>
      </c>
      <c r="I59" s="45" t="str">
        <f>IF('Sortering af spørgsmål'!$C$15=Projektforudsætninger!$C$25,Arbejdsark!K182,"")</f>
        <v/>
      </c>
      <c r="J59" s="41" t="s">
        <v>9</v>
      </c>
      <c r="K59" s="41"/>
      <c r="L59" s="19"/>
      <c r="M59" s="19"/>
      <c r="N59" s="19"/>
      <c r="O59" s="19"/>
      <c r="P59" s="19"/>
      <c r="Q59" s="19"/>
      <c r="R59" s="19"/>
      <c r="S59" s="19"/>
      <c r="T59" s="19"/>
      <c r="U59" s="19"/>
    </row>
    <row r="60" spans="1:21" ht="183" customHeight="1" x14ac:dyDescent="0.45">
      <c r="A60" s="45" t="str">
        <f>Arbejdsark!$A$167</f>
        <v>Indeklima</v>
      </c>
      <c r="B60" s="43" t="str">
        <f>Arbejdsark!$B$187</f>
        <v>1.5</v>
      </c>
      <c r="C60" s="45" t="str">
        <f>IF('Sortering af spørgsmål'!$C$15=Projektforudsætninger!$C$25,Arbejdsark!C187,"")</f>
        <v/>
      </c>
      <c r="D60" s="46">
        <f>Arbejdsark!D59</f>
        <v>0</v>
      </c>
      <c r="E60" s="45">
        <f>Arbejdsark!I59</f>
        <v>0</v>
      </c>
      <c r="F60" s="45">
        <f>Arbejdsark!J59</f>
        <v>0</v>
      </c>
      <c r="G60" s="45" t="e">
        <f>Arbejdsark!#REF!</f>
        <v>#REF!</v>
      </c>
      <c r="H60" s="45" t="e">
        <f>Arbejdsark!#REF!</f>
        <v>#REF!</v>
      </c>
      <c r="I60" s="45" t="str">
        <f>IF('Sortering af spørgsmål'!$C$15=Projektforudsætninger!$C$25,Arbejdsark!K187,"")</f>
        <v/>
      </c>
      <c r="J60" s="41" t="s">
        <v>9</v>
      </c>
      <c r="K60" s="41"/>
      <c r="L60" s="19"/>
      <c r="M60" s="19"/>
      <c r="N60" s="19"/>
      <c r="O60" s="19"/>
      <c r="P60" s="19"/>
      <c r="Q60" s="19"/>
      <c r="R60" s="19"/>
      <c r="S60" s="19"/>
      <c r="T60" s="19"/>
      <c r="U60" s="19"/>
    </row>
    <row r="61" spans="1:21" ht="85.15" customHeight="1" x14ac:dyDescent="0.45">
      <c r="A61" s="45" t="str">
        <f>Arbejdsark!$A$167</f>
        <v>Indeklima</v>
      </c>
      <c r="B61" s="43" t="str">
        <f>Arbejdsark!$B$192</f>
        <v>1.6</v>
      </c>
      <c r="C61" s="45" t="str">
        <f>IF('Sortering af spørgsmål'!$C$15=Projektforudsætninger!$C$25,Arbejdsark!C192,"")</f>
        <v/>
      </c>
      <c r="D61" s="46"/>
      <c r="E61" s="45"/>
      <c r="F61" s="45"/>
      <c r="G61" s="45"/>
      <c r="H61" s="45"/>
      <c r="I61" s="45" t="str">
        <f>IF('Sortering af spørgsmål'!$C$15=Projektforudsætninger!$C$25,Arbejdsark!K192,"")</f>
        <v/>
      </c>
      <c r="J61" s="41" t="s">
        <v>9</v>
      </c>
      <c r="K61" s="41"/>
      <c r="L61" s="19"/>
      <c r="M61" s="19"/>
      <c r="N61" s="19"/>
      <c r="O61" s="19"/>
      <c r="P61" s="19"/>
      <c r="Q61" s="19"/>
      <c r="R61" s="19"/>
      <c r="S61" s="19"/>
      <c r="T61" s="19"/>
      <c r="U61" s="19"/>
    </row>
    <row r="62" spans="1:21" ht="141.75" customHeight="1" x14ac:dyDescent="0.45">
      <c r="A62" s="45" t="str">
        <f>Arbejdsark!$A$167</f>
        <v>Indeklima</v>
      </c>
      <c r="B62" s="43" t="str">
        <f>Arbejdsark!$B$197</f>
        <v>1.7</v>
      </c>
      <c r="C62" s="45" t="str">
        <f>IF('Sortering af spørgsmål'!$C$15=Projektforudsætninger!$C$25,Arbejdsark!C197,"")</f>
        <v/>
      </c>
      <c r="D62" s="46">
        <f>Arbejdsark!D60</f>
        <v>0</v>
      </c>
      <c r="E62" s="45">
        <f>Arbejdsark!I60</f>
        <v>0</v>
      </c>
      <c r="F62" s="45">
        <f>Arbejdsark!J60</f>
        <v>0</v>
      </c>
      <c r="G62" s="45" t="e">
        <f>Arbejdsark!#REF!</f>
        <v>#REF!</v>
      </c>
      <c r="H62" s="45" t="e">
        <f>Arbejdsark!#REF!</f>
        <v>#REF!</v>
      </c>
      <c r="I62" s="45" t="str">
        <f>IF('Sortering af spørgsmål'!$C$15=Projektforudsætninger!$C$25,Arbejdsark!K197,"")</f>
        <v/>
      </c>
      <c r="J62" s="41" t="s">
        <v>9</v>
      </c>
      <c r="K62" s="41"/>
      <c r="L62" s="19"/>
      <c r="M62" s="19"/>
      <c r="N62" s="19"/>
      <c r="O62" s="19"/>
      <c r="P62" s="19"/>
      <c r="Q62" s="19"/>
      <c r="R62" s="19"/>
      <c r="S62" s="19"/>
      <c r="T62" s="19"/>
      <c r="U62" s="19"/>
    </row>
    <row r="63" spans="1:21" ht="141.75" customHeight="1" x14ac:dyDescent="0.45">
      <c r="A63" s="45" t="str">
        <f>Arbejdsark!$A$167</f>
        <v>Indeklima</v>
      </c>
      <c r="B63" s="43" t="str">
        <f>Arbejdsark!$B$202</f>
        <v>1.8</v>
      </c>
      <c r="C63" s="45" t="str">
        <f>IF('Sortering af spørgsmål'!$C$15=Projektforudsætninger!$C$25,Arbejdsark!C202,"")</f>
        <v/>
      </c>
      <c r="D63" s="46">
        <f>Arbejdsark!D61</f>
        <v>0</v>
      </c>
      <c r="E63" s="45">
        <f>Arbejdsark!I61</f>
        <v>0</v>
      </c>
      <c r="F63" s="45">
        <f>Arbejdsark!J61</f>
        <v>0</v>
      </c>
      <c r="G63" s="45" t="e">
        <f>Arbejdsark!#REF!</f>
        <v>#REF!</v>
      </c>
      <c r="H63" s="45" t="e">
        <f>Arbejdsark!#REF!</f>
        <v>#REF!</v>
      </c>
      <c r="I63" s="45" t="str">
        <f>IF('Sortering af spørgsmål'!$C$15=Projektforudsætninger!$C$25,Arbejdsark!K202,"")</f>
        <v/>
      </c>
      <c r="J63" s="41" t="s">
        <v>9</v>
      </c>
      <c r="K63" s="41"/>
      <c r="L63" s="19"/>
      <c r="M63" s="19"/>
      <c r="N63" s="19"/>
      <c r="O63" s="19"/>
      <c r="P63" s="19"/>
      <c r="Q63" s="19"/>
      <c r="R63" s="19"/>
      <c r="S63" s="19"/>
      <c r="T63" s="19"/>
      <c r="U63" s="19"/>
    </row>
    <row r="64" spans="1:21" ht="85.15" customHeight="1" x14ac:dyDescent="0.45">
      <c r="A64" s="45" t="str">
        <f>Arbejdsark!$A$167</f>
        <v>Indeklima</v>
      </c>
      <c r="B64" s="43" t="str">
        <f>Arbejdsark!$B$207</f>
        <v>1.9</v>
      </c>
      <c r="C64" s="45" t="str">
        <f>IF('Sortering af spørgsmål'!$C$15=Projektforudsætninger!$C$25,Arbejdsark!C207,"")</f>
        <v/>
      </c>
      <c r="D64" s="46">
        <f>Arbejdsark!D62</f>
        <v>0</v>
      </c>
      <c r="E64" s="45">
        <f>Arbejdsark!I62</f>
        <v>0</v>
      </c>
      <c r="F64" s="45">
        <f>Arbejdsark!J62</f>
        <v>0</v>
      </c>
      <c r="G64" s="45" t="e">
        <f>Arbejdsark!#REF!</f>
        <v>#REF!</v>
      </c>
      <c r="H64" s="45" t="e">
        <f>Arbejdsark!#REF!</f>
        <v>#REF!</v>
      </c>
      <c r="I64" s="45" t="str">
        <f>IF('Sortering af spørgsmål'!$C$15=Projektforudsætninger!$C$25,Arbejdsark!K207,"")</f>
        <v/>
      </c>
      <c r="J64" s="41" t="s">
        <v>9</v>
      </c>
      <c r="K64" s="41"/>
      <c r="L64" s="19"/>
      <c r="M64" s="19"/>
      <c r="N64" s="19"/>
      <c r="O64" s="19"/>
      <c r="P64" s="19"/>
      <c r="Q64" s="19"/>
      <c r="R64" s="19"/>
      <c r="S64" s="19"/>
      <c r="T64" s="19"/>
      <c r="U64" s="19"/>
    </row>
    <row r="65" spans="1:21" ht="127.5" customHeight="1" x14ac:dyDescent="0.45">
      <c r="A65" s="45" t="str">
        <f>Arbejdsark!$A$167</f>
        <v>Indeklima</v>
      </c>
      <c r="B65" s="43" t="str">
        <f>Arbejdsark!$B$212</f>
        <v>1.10</v>
      </c>
      <c r="C65" s="45" t="str">
        <f>IF('Sortering af spørgsmål'!$C$15=Projektforudsætninger!$C$25,Arbejdsark!C212,"")</f>
        <v/>
      </c>
      <c r="D65" s="46" t="str">
        <f>Arbejdsark!D63</f>
        <v>SOC1.6
Vægtning: 20% af SOC1.6 pkt 2.8</v>
      </c>
      <c r="E65" s="45" t="str">
        <f>Arbejdsark!I63</f>
        <v>x</v>
      </c>
      <c r="F65" s="45">
        <f>Arbejdsark!J63</f>
        <v>0</v>
      </c>
      <c r="G65" s="45" t="e">
        <f>Arbejdsark!#REF!</f>
        <v>#REF!</v>
      </c>
      <c r="H65" s="45" t="e">
        <f>Arbejdsark!#REF!</f>
        <v>#REF!</v>
      </c>
      <c r="I65" s="45" t="str">
        <f>IF('Sortering af spørgsmål'!$C$15=Projektforudsætninger!$C$25,Arbejdsark!K212,"")</f>
        <v/>
      </c>
      <c r="J65" s="41" t="s">
        <v>9</v>
      </c>
      <c r="K65" s="41"/>
      <c r="L65" s="19"/>
      <c r="M65" s="19"/>
      <c r="N65" s="19"/>
      <c r="O65" s="19"/>
      <c r="P65" s="19"/>
      <c r="Q65" s="19"/>
      <c r="R65" s="19"/>
      <c r="S65" s="19"/>
      <c r="T65" s="19"/>
      <c r="U65" s="19"/>
    </row>
    <row r="66" spans="1:21" x14ac:dyDescent="0.45">
      <c r="A66" s="45"/>
      <c r="B66" s="45"/>
      <c r="C66" s="45"/>
      <c r="D66" s="46"/>
      <c r="E66" s="45"/>
      <c r="F66" s="45"/>
      <c r="G66" s="45"/>
      <c r="H66" s="45"/>
      <c r="I66" s="45"/>
      <c r="J66" s="47"/>
      <c r="K66" s="47"/>
      <c r="L66" s="19"/>
      <c r="M66" s="19"/>
      <c r="N66" s="19"/>
      <c r="O66" s="19"/>
      <c r="P66" s="19"/>
      <c r="Q66" s="19"/>
      <c r="R66" s="19"/>
      <c r="S66" s="19"/>
      <c r="T66" s="19"/>
      <c r="U66" s="19"/>
    </row>
    <row r="67" spans="1:21" ht="28.5" customHeight="1" x14ac:dyDescent="0.45">
      <c r="A67" s="56" t="str">
        <f>Arbejdsark!$A$217</f>
        <v>Brugerstyring</v>
      </c>
      <c r="B67" s="57">
        <v>2</v>
      </c>
      <c r="C67" s="56"/>
      <c r="D67" s="56"/>
      <c r="E67" s="56"/>
      <c r="F67" s="56"/>
      <c r="G67" s="56"/>
      <c r="H67" s="56"/>
      <c r="I67" s="57" t="str">
        <f>IF('Sortering af spørgsmål'!$C$16=Projektforudsætninger!$C$25,"Udfyld spørgsmål","Ingen spørgsmål")</f>
        <v>Ingen spørgsmål</v>
      </c>
      <c r="J67" s="54"/>
      <c r="K67" s="54"/>
      <c r="L67" s="19"/>
      <c r="M67" s="19"/>
      <c r="N67" s="19"/>
      <c r="O67" s="19"/>
      <c r="P67" s="19"/>
      <c r="Q67" s="19"/>
      <c r="R67" s="19"/>
      <c r="S67" s="19"/>
      <c r="T67" s="19"/>
      <c r="U67" s="19"/>
    </row>
    <row r="68" spans="1:21" ht="85.15" customHeight="1" x14ac:dyDescent="0.45">
      <c r="A68" s="45" t="str">
        <f>Arbejdsark!$A$217</f>
        <v>Brugerstyring</v>
      </c>
      <c r="B68" s="43" t="str">
        <f>Arbejdsark!$B$217</f>
        <v>2.1</v>
      </c>
      <c r="C68" s="45" t="str">
        <f>IF('Sortering af spørgsmål'!$C$16=Projektforudsætninger!$C$25,Arbejdsark!C217,"")</f>
        <v/>
      </c>
      <c r="D68" s="46">
        <f>Arbejdsark!D62</f>
        <v>0</v>
      </c>
      <c r="E68" s="45">
        <f>Arbejdsark!I62</f>
        <v>0</v>
      </c>
      <c r="F68" s="45">
        <f>Arbejdsark!J62</f>
        <v>0</v>
      </c>
      <c r="G68" s="45" t="e">
        <f>Arbejdsark!#REF!</f>
        <v>#REF!</v>
      </c>
      <c r="H68" s="45" t="e">
        <f>Arbejdsark!#REF!</f>
        <v>#REF!</v>
      </c>
      <c r="I68" s="45" t="str">
        <f>IF('Sortering af spørgsmål'!$C$16=Projektforudsætninger!$C$25,Arbejdsark!K217,"")</f>
        <v/>
      </c>
      <c r="J68" s="41" t="s">
        <v>9</v>
      </c>
      <c r="K68" s="41"/>
      <c r="L68" s="19"/>
      <c r="M68" s="19"/>
      <c r="N68" s="19"/>
      <c r="O68" s="19"/>
      <c r="P68" s="19"/>
      <c r="Q68" s="19"/>
      <c r="R68" s="19"/>
      <c r="S68" s="19"/>
      <c r="T68" s="19"/>
      <c r="U68" s="19"/>
    </row>
    <row r="69" spans="1:21" ht="85.15" customHeight="1" x14ac:dyDescent="0.45">
      <c r="A69" s="45" t="str">
        <f>Arbejdsark!$A$217</f>
        <v>Brugerstyring</v>
      </c>
      <c r="B69" s="43" t="str">
        <f>Arbejdsark!$B$222</f>
        <v>2.2</v>
      </c>
      <c r="C69" s="45" t="str">
        <f>IF('Sortering af spørgsmål'!$C$16=Projektforudsætninger!$C$25,Arbejdsark!C222,"")</f>
        <v/>
      </c>
      <c r="D69" s="46" t="str">
        <f>Arbejdsark!D63</f>
        <v>SOC1.6
Vægtning: 20% af SOC1.6 pkt 2.8</v>
      </c>
      <c r="E69" s="45" t="str">
        <f>Arbejdsark!I63</f>
        <v>x</v>
      </c>
      <c r="F69" s="45">
        <f>Arbejdsark!J63</f>
        <v>0</v>
      </c>
      <c r="G69" s="45" t="e">
        <f>Arbejdsark!#REF!</f>
        <v>#REF!</v>
      </c>
      <c r="H69" s="45" t="e">
        <f>Arbejdsark!#REF!</f>
        <v>#REF!</v>
      </c>
      <c r="I69" s="45" t="str">
        <f>IF('Sortering af spørgsmål'!$C$16=Projektforudsætninger!$C$25,Arbejdsark!K222,"")</f>
        <v/>
      </c>
      <c r="J69" s="41" t="s">
        <v>9</v>
      </c>
      <c r="K69" s="41"/>
      <c r="L69" s="19"/>
      <c r="M69" s="19"/>
      <c r="N69" s="19"/>
      <c r="O69" s="19"/>
      <c r="P69" s="19"/>
      <c r="Q69" s="19"/>
      <c r="R69" s="19"/>
      <c r="S69" s="19"/>
      <c r="T69" s="19"/>
      <c r="U69" s="19"/>
    </row>
    <row r="70" spans="1:21" ht="85.15" customHeight="1" x14ac:dyDescent="0.45">
      <c r="A70" s="45" t="str">
        <f>Arbejdsark!$A$217</f>
        <v>Brugerstyring</v>
      </c>
      <c r="B70" s="43" t="str">
        <f>Arbejdsark!$B$227</f>
        <v>2.3</v>
      </c>
      <c r="C70" s="45" t="str">
        <f>IF('Sortering af spørgsmål'!$C$16=Projektforudsætninger!$C$25,Arbejdsark!C227,"")</f>
        <v/>
      </c>
      <c r="D70" s="46">
        <f>Arbejdsark!D64</f>
        <v>0</v>
      </c>
      <c r="E70" s="45">
        <f>Arbejdsark!I64</f>
        <v>0</v>
      </c>
      <c r="F70" s="45">
        <f>Arbejdsark!J64</f>
        <v>0</v>
      </c>
      <c r="G70" s="45" t="e">
        <f>Arbejdsark!#REF!</f>
        <v>#REF!</v>
      </c>
      <c r="H70" s="45" t="e">
        <f>Arbejdsark!#REF!</f>
        <v>#REF!</v>
      </c>
      <c r="I70" s="45" t="str">
        <f>IF('Sortering af spørgsmål'!$C$16=Projektforudsætninger!$C$25,Arbejdsark!K227,"")</f>
        <v/>
      </c>
      <c r="J70" s="41" t="s">
        <v>9</v>
      </c>
      <c r="K70" s="41"/>
      <c r="L70" s="19"/>
      <c r="M70" s="19"/>
      <c r="N70" s="19"/>
      <c r="O70" s="19"/>
      <c r="P70" s="19"/>
      <c r="Q70" s="19"/>
      <c r="R70" s="19"/>
      <c r="S70" s="19"/>
      <c r="T70" s="19"/>
      <c r="U70" s="19"/>
    </row>
    <row r="71" spans="1:21" x14ac:dyDescent="0.45">
      <c r="A71" s="45"/>
      <c r="B71" s="45"/>
      <c r="C71" s="45"/>
      <c r="D71" s="46"/>
      <c r="E71" s="45"/>
      <c r="F71" s="45"/>
      <c r="G71" s="45"/>
      <c r="H71" s="45"/>
      <c r="I71" s="45"/>
      <c r="J71" s="47"/>
      <c r="K71" s="47"/>
      <c r="L71" s="19"/>
      <c r="M71" s="19"/>
      <c r="N71" s="19"/>
      <c r="O71" s="19"/>
      <c r="P71" s="19"/>
      <c r="Q71" s="19"/>
      <c r="R71" s="19"/>
      <c r="S71" s="19"/>
      <c r="T71" s="19"/>
      <c r="U71" s="19"/>
    </row>
    <row r="72" spans="1:21" ht="28.5" customHeight="1" x14ac:dyDescent="0.45">
      <c r="A72" s="56" t="str">
        <f>Arbejdsark!$A$234</f>
        <v>Tilgængelighed</v>
      </c>
      <c r="B72" s="57">
        <v>3</v>
      </c>
      <c r="C72" s="56"/>
      <c r="D72" s="56"/>
      <c r="E72" s="56"/>
      <c r="F72" s="56"/>
      <c r="G72" s="56"/>
      <c r="H72" s="56"/>
      <c r="I72" s="57" t="str">
        <f>IF('Sortering af spørgsmål'!$C$17=Projektforudsætninger!$C$25,"Udfyld spørgsmål","Ingen spørgsmål")</f>
        <v>Ingen spørgsmål</v>
      </c>
      <c r="J72" s="54"/>
      <c r="K72" s="54"/>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spørgsmål'!$C$17=Projektforudsætninger!$C$25,Arbejdsark!C234,"")</f>
        <v/>
      </c>
      <c r="D73" s="46">
        <f>Arbejdsark!D67</f>
        <v>0</v>
      </c>
      <c r="E73" s="45">
        <f>Arbejdsark!I67</f>
        <v>0</v>
      </c>
      <c r="F73" s="45">
        <f>Arbejdsark!J67</f>
        <v>0</v>
      </c>
      <c r="G73" s="45" t="e">
        <f>Arbejdsark!#REF!</f>
        <v>#REF!</v>
      </c>
      <c r="H73" s="45" t="e">
        <f>Arbejdsark!#REF!</f>
        <v>#REF!</v>
      </c>
      <c r="I73" s="45" t="str">
        <f>IF('Sortering af spørgsmål'!$C$17=Projektforudsætninger!$C$25,Arbejdsark!K234,"")</f>
        <v/>
      </c>
      <c r="J73" s="41" t="s">
        <v>9</v>
      </c>
      <c r="K73" s="41"/>
      <c r="L73" s="19"/>
      <c r="M73" s="19"/>
      <c r="N73" s="19"/>
      <c r="O73" s="19"/>
      <c r="P73" s="19"/>
      <c r="Q73" s="19"/>
      <c r="R73" s="19"/>
      <c r="S73" s="19"/>
      <c r="T73" s="19"/>
      <c r="U73" s="19"/>
    </row>
    <row r="74" spans="1:21" ht="170.25" customHeight="1" x14ac:dyDescent="0.45">
      <c r="A74" s="45" t="str">
        <f>Arbejdsark!$A$234</f>
        <v>Tilgængelighed</v>
      </c>
      <c r="B74" s="43" t="e">
        <f>Arbejdsark!#REF!</f>
        <v>#REF!</v>
      </c>
      <c r="C74" s="45" t="str">
        <f>IF('Sortering af spørgsmål'!$C$17=Projektforudsætninger!$C$25,Arbejdsark!#REF!,"")</f>
        <v/>
      </c>
      <c r="D74" s="46">
        <f>Arbejdsark!D74</f>
        <v>0</v>
      </c>
      <c r="E74" s="45">
        <f>Arbejdsark!I74</f>
        <v>0</v>
      </c>
      <c r="F74" s="45">
        <f>Arbejdsark!J74</f>
        <v>0</v>
      </c>
      <c r="G74" s="45" t="e">
        <f>Arbejdsark!#REF!</f>
        <v>#REF!</v>
      </c>
      <c r="H74" s="45" t="e">
        <f>Arbejdsark!#REF!</f>
        <v>#REF!</v>
      </c>
      <c r="I74" s="45" t="str">
        <f>IF('Sortering af spørgsmål'!$C$17=Projektforudsætninger!$C$25,Arbejdsark!#REF!,"")</f>
        <v/>
      </c>
      <c r="J74" s="41" t="s">
        <v>9</v>
      </c>
      <c r="K74" s="41"/>
      <c r="L74" s="19"/>
      <c r="M74" s="19"/>
      <c r="N74" s="19"/>
      <c r="O74" s="19"/>
      <c r="P74" s="19"/>
      <c r="Q74" s="19"/>
      <c r="R74" s="19"/>
      <c r="S74" s="19"/>
      <c r="T74" s="19"/>
      <c r="U74" s="19"/>
    </row>
    <row r="75" spans="1:21" x14ac:dyDescent="0.45">
      <c r="A75" s="45"/>
      <c r="B75" s="45"/>
      <c r="C75" s="45"/>
      <c r="D75" s="46"/>
      <c r="E75" s="45"/>
      <c r="F75" s="45"/>
      <c r="G75" s="45"/>
      <c r="H75" s="45"/>
      <c r="I75" s="45"/>
      <c r="J75" s="47"/>
      <c r="K75" s="47"/>
      <c r="L75" s="19"/>
      <c r="M75" s="19"/>
      <c r="N75" s="19"/>
      <c r="O75" s="19"/>
      <c r="P75" s="19"/>
      <c r="Q75" s="19"/>
      <c r="R75" s="19"/>
      <c r="S75" s="19"/>
      <c r="T75" s="19"/>
      <c r="U75" s="19"/>
    </row>
    <row r="76" spans="1:21" ht="28.5" customHeight="1" x14ac:dyDescent="0.45">
      <c r="A76" s="56" t="str">
        <f>Arbejdsark!$A$239</f>
        <v>Udearealer</v>
      </c>
      <c r="B76" s="57">
        <v>4</v>
      </c>
      <c r="C76" s="56"/>
      <c r="D76" s="56"/>
      <c r="E76" s="56"/>
      <c r="F76" s="56"/>
      <c r="G76" s="56"/>
      <c r="H76" s="56"/>
      <c r="I76" s="57" t="str">
        <f>IF('Sortering af spørgsmål'!$C$18=Projektforudsætninger!$C$25,"Udfyld spørgsmål","Ingen spørgsmål")</f>
        <v>Ingen spørgsmål</v>
      </c>
      <c r="J76" s="54"/>
      <c r="K76" s="54"/>
      <c r="L76" s="19"/>
      <c r="M76" s="19"/>
      <c r="N76" s="19"/>
      <c r="O76" s="19"/>
      <c r="P76" s="19"/>
      <c r="Q76" s="19"/>
      <c r="R76" s="19"/>
      <c r="S76" s="19"/>
      <c r="T76" s="19"/>
      <c r="U76" s="19"/>
    </row>
    <row r="77" spans="1:21" s="33" customFormat="1" ht="113.65" customHeight="1" x14ac:dyDescent="0.45">
      <c r="A77" s="45" t="str">
        <f>Arbejdsark!$A$239</f>
        <v>Udearealer</v>
      </c>
      <c r="B77" s="43" t="str">
        <f>Arbejdsark!$B$239</f>
        <v>4.1</v>
      </c>
      <c r="C77" s="45" t="str">
        <f>IF('Sortering af spørgsmål'!$C$18=Projektforudsætninger!$C$25,Arbejdsark!C239,"")</f>
        <v/>
      </c>
      <c r="D77" s="46">
        <f>Arbejdsark!D77</f>
        <v>0</v>
      </c>
      <c r="E77" s="45">
        <f>Arbejdsark!I77</f>
        <v>0</v>
      </c>
      <c r="F77" s="45">
        <f>Arbejdsark!J77</f>
        <v>0</v>
      </c>
      <c r="G77" s="45" t="e">
        <f>Arbejdsark!#REF!</f>
        <v>#REF!</v>
      </c>
      <c r="H77" s="45" t="e">
        <f>Arbejdsark!#REF!</f>
        <v>#REF!</v>
      </c>
      <c r="I77" s="45" t="str">
        <f>IF('Sortering af spørgsmål'!$C$18=Projektforudsætninger!$C$25,Arbejdsark!K239,"")</f>
        <v/>
      </c>
      <c r="J77" s="41" t="s">
        <v>9</v>
      </c>
      <c r="K77" s="41"/>
      <c r="L77" s="27">
        <f t="shared" ref="L77:U77" si="1">L4</f>
        <v>0</v>
      </c>
      <c r="M77" s="27">
        <f t="shared" si="1"/>
        <v>0</v>
      </c>
      <c r="N77" s="27">
        <f t="shared" si="1"/>
        <v>0</v>
      </c>
      <c r="O77" s="27">
        <f t="shared" si="1"/>
        <v>0</v>
      </c>
      <c r="P77" s="27">
        <f t="shared" si="1"/>
        <v>0</v>
      </c>
      <c r="Q77" s="27">
        <f t="shared" si="1"/>
        <v>0</v>
      </c>
      <c r="R77" s="27">
        <f t="shared" si="1"/>
        <v>0</v>
      </c>
      <c r="S77" s="27">
        <f t="shared" si="1"/>
        <v>0</v>
      </c>
      <c r="T77" s="27">
        <f t="shared" si="1"/>
        <v>0</v>
      </c>
      <c r="U77" s="27">
        <f t="shared" si="1"/>
        <v>0</v>
      </c>
    </row>
    <row r="78" spans="1:21" ht="170.25" customHeight="1" x14ac:dyDescent="0.45">
      <c r="A78" s="45" t="str">
        <f>Arbejdsark!$A$239</f>
        <v>Udearealer</v>
      </c>
      <c r="B78" s="43" t="str">
        <f>Arbejdsark!$B$244</f>
        <v>4.2</v>
      </c>
      <c r="C78" s="45" t="str">
        <f>IF('Sortering af spørgsmål'!$C$18=Projektforudsætninger!$C$25,Arbejdsark!C244,"")</f>
        <v/>
      </c>
      <c r="D78" s="46" t="str">
        <f>Arbejdsark!D78</f>
        <v>ENV2.3
Vægtning: ENV2.3 pkt. 2.1 + 2.2+3</v>
      </c>
      <c r="E78" s="45" t="str">
        <f>Arbejdsark!I78</f>
        <v>x</v>
      </c>
      <c r="F78" s="45">
        <f>Arbejdsark!J78</f>
        <v>0</v>
      </c>
      <c r="G78" s="45" t="e">
        <f>Arbejdsark!#REF!</f>
        <v>#REF!</v>
      </c>
      <c r="H78" s="45" t="e">
        <f>Arbejdsark!#REF!</f>
        <v>#REF!</v>
      </c>
      <c r="I78" s="45" t="str">
        <f>IF('Sortering af spørgsmål'!$C$18=Projektforudsætninger!$C$25,Arbejdsark!K244,"")</f>
        <v/>
      </c>
      <c r="J78" s="41" t="s">
        <v>9</v>
      </c>
      <c r="K78" s="41"/>
      <c r="L78" s="19"/>
      <c r="M78" s="19"/>
      <c r="N78" s="19"/>
      <c r="O78" s="19"/>
      <c r="P78" s="19"/>
      <c r="Q78" s="19"/>
      <c r="R78" s="19"/>
      <c r="S78" s="19"/>
      <c r="T78" s="19"/>
      <c r="U78" s="19"/>
    </row>
    <row r="79" spans="1:21" x14ac:dyDescent="0.45">
      <c r="A79" s="45"/>
      <c r="B79" s="45"/>
      <c r="C79" s="45"/>
      <c r="D79" s="46"/>
      <c r="E79" s="45"/>
      <c r="F79" s="45"/>
      <c r="G79" s="45"/>
      <c r="H79" s="45"/>
      <c r="I79" s="45"/>
      <c r="J79" s="47"/>
      <c r="K79" s="47"/>
      <c r="L79" s="19"/>
      <c r="M79" s="19"/>
      <c r="N79" s="19"/>
      <c r="O79" s="19"/>
      <c r="P79" s="19"/>
      <c r="Q79" s="19"/>
      <c r="R79" s="19"/>
      <c r="S79" s="19"/>
      <c r="T79" s="19"/>
      <c r="U79" s="19"/>
    </row>
    <row r="80" spans="1:21" ht="28.5" customHeight="1" x14ac:dyDescent="0.45">
      <c r="A80" s="56" t="str">
        <f>Arbejdsark!$A$250</f>
        <v>Cyklister</v>
      </c>
      <c r="B80" s="57">
        <v>5</v>
      </c>
      <c r="C80" s="56"/>
      <c r="D80" s="56"/>
      <c r="E80" s="56"/>
      <c r="F80" s="56"/>
      <c r="G80" s="56"/>
      <c r="H80" s="56"/>
      <c r="I80" s="57" t="str">
        <f>IF('Sortering af spørgsmål'!$C$19=Projektforudsætninger!$C$25,"Udfyld spørgsmål","Ingen spørgsmål")</f>
        <v>Ingen spørgsmål</v>
      </c>
      <c r="J80" s="54"/>
      <c r="K80" s="54"/>
      <c r="L80" s="19"/>
      <c r="M80" s="19"/>
      <c r="N80" s="19"/>
      <c r="O80" s="19"/>
      <c r="P80" s="19"/>
      <c r="Q80" s="19"/>
      <c r="R80" s="19"/>
      <c r="S80" s="19"/>
      <c r="T80" s="19"/>
      <c r="U80" s="19"/>
    </row>
    <row r="81" spans="1:21" ht="113.65" customHeight="1" x14ac:dyDescent="0.45">
      <c r="A81" s="45" t="str">
        <f>Arbejdsark!$A$250</f>
        <v>Cyklister</v>
      </c>
      <c r="B81" s="43" t="str">
        <f>Arbejdsark!$B$250</f>
        <v>5.1</v>
      </c>
      <c r="C81" s="45" t="str">
        <f>IF('Sortering af spørgsmål'!$C$19=Projektforudsætninger!$C$25,Arbejdsark!C250,"")</f>
        <v/>
      </c>
      <c r="D81" s="46">
        <f>Arbejdsark!D81</f>
        <v>0</v>
      </c>
      <c r="E81" s="45">
        <f>Arbejdsark!I81</f>
        <v>0</v>
      </c>
      <c r="F81" s="45">
        <f>Arbejdsark!J81</f>
        <v>0</v>
      </c>
      <c r="G81" s="45" t="e">
        <f>Arbejdsark!#REF!</f>
        <v>#REF!</v>
      </c>
      <c r="H81" s="45" t="e">
        <f>Arbejdsark!#REF!</f>
        <v>#REF!</v>
      </c>
      <c r="I81" s="45" t="str">
        <f>IF('Sortering af spørgsmål'!$C$19=Projektforudsætninger!$C$25,Arbejdsark!K250,"")</f>
        <v/>
      </c>
      <c r="J81" s="41" t="s">
        <v>9</v>
      </c>
      <c r="K81" s="41"/>
      <c r="L81" s="19"/>
      <c r="M81" s="19"/>
      <c r="N81" s="19"/>
      <c r="O81" s="19"/>
      <c r="P81" s="19"/>
      <c r="Q81" s="19"/>
      <c r="R81" s="19"/>
      <c r="S81" s="19"/>
      <c r="T81" s="19"/>
      <c r="U81" s="19"/>
    </row>
    <row r="82" spans="1:21" ht="141.75" customHeight="1" x14ac:dyDescent="0.45">
      <c r="A82" s="45" t="str">
        <f>Arbejdsark!$A$250</f>
        <v>Cyklister</v>
      </c>
      <c r="B82" s="43" t="str">
        <f>Arbejdsark!$B$255</f>
        <v>5.2</v>
      </c>
      <c r="C82" s="45" t="str">
        <f>IF('Sortering af spørgsmål'!$C$19=Projektforudsætninger!$C$25,Arbejdsark!C255,"")</f>
        <v/>
      </c>
      <c r="D82" s="46">
        <f>Arbejdsark!D82</f>
        <v>0</v>
      </c>
      <c r="E82" s="45">
        <f>Arbejdsark!I82</f>
        <v>0</v>
      </c>
      <c r="F82" s="45">
        <f>Arbejdsark!J82</f>
        <v>0</v>
      </c>
      <c r="G82" s="45" t="e">
        <f>Arbejdsark!#REF!</f>
        <v>#REF!</v>
      </c>
      <c r="H82" s="45" t="e">
        <f>Arbejdsark!#REF!</f>
        <v>#REF!</v>
      </c>
      <c r="I82" s="45" t="str">
        <f>IF('Sortering af spørgsmål'!$C$19=Projektforudsætninger!$C$25,Arbejdsark!K255,"")</f>
        <v/>
      </c>
      <c r="J82" s="41" t="s">
        <v>9</v>
      </c>
      <c r="K82" s="41"/>
      <c r="L82" s="19"/>
      <c r="M82" s="19"/>
      <c r="N82" s="19"/>
      <c r="O82" s="19"/>
      <c r="P82" s="19"/>
      <c r="Q82" s="19"/>
      <c r="R82" s="19"/>
      <c r="S82" s="19"/>
      <c r="T82" s="19"/>
      <c r="U82" s="19"/>
    </row>
    <row r="83" spans="1:21" ht="141.75" customHeight="1" x14ac:dyDescent="0.45">
      <c r="A83" s="45" t="str">
        <f>Arbejdsark!$A$250</f>
        <v>Cyklister</v>
      </c>
      <c r="B83" s="43" t="str">
        <f>Arbejdsark!$B$260</f>
        <v>5.3</v>
      </c>
      <c r="C83" s="45" t="str">
        <f>IF('Sortering af spørgsmål'!$C$19=Projektforudsætninger!$C$25,Arbejdsark!C260,"")</f>
        <v/>
      </c>
      <c r="D83" s="46" t="e">
        <f>Arbejdsark!#REF!</f>
        <v>#REF!</v>
      </c>
      <c r="E83" s="45" t="e">
        <f>Arbejdsark!#REF!</f>
        <v>#REF!</v>
      </c>
      <c r="F83" s="45" t="e">
        <f>Arbejdsark!#REF!</f>
        <v>#REF!</v>
      </c>
      <c r="G83" s="45" t="e">
        <f>Arbejdsark!#REF!</f>
        <v>#REF!</v>
      </c>
      <c r="H83" s="45" t="e">
        <f>Arbejdsark!#REF!</f>
        <v>#REF!</v>
      </c>
      <c r="I83" s="45" t="str">
        <f>IF('Sortering af spørgsmål'!$C$19=Projektforudsætninger!$C$25,Arbejdsark!K260,"")</f>
        <v/>
      </c>
      <c r="J83" s="41" t="s">
        <v>9</v>
      </c>
      <c r="K83" s="41"/>
      <c r="L83" s="19"/>
      <c r="M83" s="19"/>
      <c r="N83" s="19"/>
      <c r="O83" s="19"/>
      <c r="P83" s="19"/>
      <c r="Q83" s="19"/>
      <c r="R83" s="19"/>
      <c r="S83" s="19"/>
      <c r="T83" s="19"/>
      <c r="U83" s="19"/>
    </row>
    <row r="84" spans="1:21" x14ac:dyDescent="0.45">
      <c r="A84" s="45"/>
      <c r="B84" s="45"/>
      <c r="C84" s="45"/>
      <c r="D84" s="46"/>
      <c r="E84" s="45"/>
      <c r="F84" s="45"/>
      <c r="G84" s="45"/>
      <c r="H84" s="45"/>
      <c r="I84" s="45"/>
      <c r="J84" s="47"/>
      <c r="K84" s="47"/>
      <c r="L84" s="19"/>
      <c r="M84" s="19"/>
      <c r="N84" s="19"/>
      <c r="O84" s="19"/>
      <c r="P84" s="19"/>
      <c r="Q84" s="19"/>
      <c r="R84" s="19"/>
      <c r="S84" s="19"/>
      <c r="T84" s="19"/>
      <c r="U84" s="19"/>
    </row>
    <row r="85" spans="1:21" ht="28.5" customHeight="1" x14ac:dyDescent="0.45">
      <c r="A85" s="57" t="str">
        <f>Arbejdsark!$A$265</f>
        <v>Tryghed og sikkerhed</v>
      </c>
      <c r="B85" s="57">
        <v>6</v>
      </c>
      <c r="C85" s="57"/>
      <c r="D85" s="57"/>
      <c r="E85" s="57"/>
      <c r="F85" s="57"/>
      <c r="G85" s="57"/>
      <c r="H85" s="57"/>
      <c r="I85" s="57" t="str">
        <f>IF('Sortering af spørgsmål'!$C$20=Projektforudsætninger!$C$25,"Udfyld spørgsmål","Ingen spørgsmål")</f>
        <v>Ingen spørgsmål</v>
      </c>
      <c r="J85" s="54"/>
      <c r="K85" s="54"/>
      <c r="L85" s="19"/>
      <c r="M85" s="19"/>
      <c r="N85" s="19"/>
      <c r="O85" s="19"/>
      <c r="P85" s="19"/>
      <c r="Q85" s="19"/>
      <c r="R85" s="19"/>
      <c r="S85" s="19"/>
      <c r="T85" s="19"/>
      <c r="U85" s="19"/>
    </row>
    <row r="86" spans="1:21" ht="113.65" customHeight="1" x14ac:dyDescent="0.45">
      <c r="A86" s="45" t="str">
        <f>Arbejdsark!$A$265</f>
        <v>Tryghed og sikkerhed</v>
      </c>
      <c r="B86" s="43" t="str">
        <f>Arbejdsark!$B$265</f>
        <v>6.1</v>
      </c>
      <c r="C86" s="45" t="str">
        <f>IF('Sortering af spørgsmål'!$C$20=Projektforudsætninger!$C$25,Arbejdsark!C265,"")</f>
        <v/>
      </c>
      <c r="D86" s="46">
        <f>Arbejdsark!D83</f>
        <v>0</v>
      </c>
      <c r="E86" s="45">
        <f>Arbejdsark!I83</f>
        <v>0</v>
      </c>
      <c r="F86" s="45">
        <f>Arbejdsark!J83</f>
        <v>0</v>
      </c>
      <c r="G86" s="45" t="e">
        <f>Arbejdsark!#REF!</f>
        <v>#REF!</v>
      </c>
      <c r="H86" s="45" t="e">
        <f>Arbejdsark!#REF!</f>
        <v>#REF!</v>
      </c>
      <c r="I86" s="45" t="str">
        <f>IF('Sortering af spørgsmål'!$C$20=Projektforudsætninger!$C$25,Arbejdsark!K265,"")</f>
        <v/>
      </c>
      <c r="J86" s="41" t="s">
        <v>9</v>
      </c>
      <c r="K86" s="41"/>
      <c r="L86" s="19"/>
      <c r="M86" s="19"/>
      <c r="N86" s="19"/>
      <c r="O86" s="19"/>
      <c r="P86" s="19"/>
      <c r="Q86" s="19"/>
      <c r="R86" s="19"/>
      <c r="S86" s="19"/>
      <c r="T86" s="19"/>
      <c r="U86" s="19"/>
    </row>
    <row r="87" spans="1:21" ht="113.65" customHeight="1" x14ac:dyDescent="0.45">
      <c r="A87" s="45" t="str">
        <f>Arbejdsark!$A$265</f>
        <v>Tryghed og sikkerhed</v>
      </c>
      <c r="B87" s="43" t="str">
        <f>Arbejdsark!$B$270</f>
        <v>6.2</v>
      </c>
      <c r="C87" s="45" t="str">
        <f>IF('Sortering af spørgsmål'!$C$20=Projektforudsætninger!$C$25,Arbejdsark!C270,"")</f>
        <v/>
      </c>
      <c r="D87" s="46">
        <f>Arbejdsark!D85</f>
        <v>0</v>
      </c>
      <c r="E87" s="45">
        <f>Arbejdsark!I85</f>
        <v>0</v>
      </c>
      <c r="F87" s="45">
        <f>Arbejdsark!J85</f>
        <v>0</v>
      </c>
      <c r="G87" s="45" t="e">
        <f>Arbejdsark!#REF!</f>
        <v>#REF!</v>
      </c>
      <c r="H87" s="45" t="e">
        <f>Arbejdsark!#REF!</f>
        <v>#REF!</v>
      </c>
      <c r="I87" s="45" t="str">
        <f>IF('Sortering af spørgsmål'!$C$20=Projektforudsætninger!$C$25,Arbejdsark!K270,"")</f>
        <v/>
      </c>
      <c r="J87" s="41" t="s">
        <v>9</v>
      </c>
      <c r="K87" s="41"/>
      <c r="L87" s="19"/>
      <c r="M87" s="19"/>
      <c r="N87" s="19"/>
      <c r="O87" s="19"/>
      <c r="P87" s="19"/>
      <c r="Q87" s="19"/>
      <c r="R87" s="19"/>
      <c r="S87" s="19"/>
      <c r="T87" s="19"/>
      <c r="U87" s="19"/>
    </row>
    <row r="88" spans="1:21" x14ac:dyDescent="0.45">
      <c r="A88" s="45"/>
      <c r="B88" s="45"/>
      <c r="C88" s="45"/>
      <c r="D88" s="46"/>
      <c r="E88" s="45"/>
      <c r="F88" s="45"/>
      <c r="G88" s="45"/>
      <c r="H88" s="45"/>
      <c r="I88" s="45"/>
      <c r="J88" s="47"/>
      <c r="K88" s="47"/>
      <c r="L88" s="19"/>
      <c r="M88" s="19"/>
      <c r="N88" s="19"/>
      <c r="O88" s="19"/>
      <c r="P88" s="19"/>
      <c r="Q88" s="19"/>
      <c r="R88" s="19"/>
      <c r="S88" s="19"/>
      <c r="T88" s="19"/>
      <c r="U88" s="19"/>
    </row>
    <row r="89" spans="1:21" ht="28.5" customHeight="1" x14ac:dyDescent="0.45">
      <c r="A89" s="56" t="str">
        <f>Arbejdsark!$A$279</f>
        <v>Arkitektonisk kvalitet</v>
      </c>
      <c r="B89" s="57">
        <v>7</v>
      </c>
      <c r="C89" s="56"/>
      <c r="D89" s="56"/>
      <c r="E89" s="56"/>
      <c r="F89" s="56"/>
      <c r="G89" s="56"/>
      <c r="H89" s="56"/>
      <c r="I89" s="57" t="str">
        <f>IF('Sortering af spørgsmål'!$C$21=Projektforudsætninger!$C$25,"Udfyld spørgsmål","Ingen spørgsmål")</f>
        <v>Ingen spørgsmål</v>
      </c>
      <c r="J89" s="54"/>
      <c r="K89" s="54"/>
      <c r="L89" s="19"/>
      <c r="M89" s="19"/>
      <c r="N89" s="19"/>
      <c r="O89" s="19"/>
      <c r="P89" s="19"/>
      <c r="Q89" s="19"/>
      <c r="R89" s="19"/>
      <c r="S89" s="19"/>
      <c r="T89" s="19"/>
      <c r="U89" s="19"/>
    </row>
    <row r="90" spans="1:21" s="33" customFormat="1" ht="81.75" customHeight="1" x14ac:dyDescent="0.45">
      <c r="A90" s="45" t="str">
        <f>IF(Projektforudsætninger!C40="Totalentreprisekonkurrence eller OPP leverance",Arbejdsark!$A$279,"")</f>
        <v/>
      </c>
      <c r="B90" s="43" t="str">
        <f>Arbejdsark!$B$289</f>
        <v>7.1</v>
      </c>
      <c r="C90" s="45" t="str">
        <f>IF('Sortering af spørgsmål'!$C$21=Projektforudsætninger!$C$25,IF(Projektforudsætninger!C40="Totalentreprisekonkurrence eller OPP leverance",Arbejdsark!C289,""),"")</f>
        <v/>
      </c>
      <c r="D90" s="46"/>
      <c r="E90" s="45"/>
      <c r="F90" s="45"/>
      <c r="G90" s="45"/>
      <c r="H90" s="45"/>
      <c r="I90" s="45" t="str">
        <f>IF('Sortering af spørgsmål'!$C$21=Projektforudsætninger!$C$25,IF(Projektforudsætninger!C40="Totalentreprisekonkurrence eller OPP leverance",Arbejdsark!K289,""),"")</f>
        <v/>
      </c>
      <c r="J90" s="41" t="s">
        <v>9</v>
      </c>
      <c r="K90" s="41"/>
      <c r="L90" s="32"/>
      <c r="M90" s="32"/>
      <c r="N90" s="32"/>
      <c r="O90" s="32"/>
      <c r="P90" s="32"/>
      <c r="Q90" s="32"/>
      <c r="R90" s="32"/>
      <c r="S90" s="32"/>
      <c r="T90" s="32"/>
      <c r="U90" s="32"/>
    </row>
    <row r="91" spans="1:21" s="33" customFormat="1" ht="75.75" customHeight="1" x14ac:dyDescent="0.45">
      <c r="A91" s="45"/>
      <c r="B91" s="43" t="str">
        <f>Arbejdsark!$B$294</f>
        <v>7.2</v>
      </c>
      <c r="C91" s="45" t="str">
        <f>IF('Sortering af spørgsmål'!$C$21=Projektforudsætninger!$C$25,IF(Projektforudsætninger!C40="Totalentreprisekonkurrence eller OPP leverance",Arbejdsark!C294,""),"")</f>
        <v/>
      </c>
      <c r="D91" s="46"/>
      <c r="E91" s="45"/>
      <c r="F91" s="45"/>
      <c r="G91" s="45"/>
      <c r="H91" s="45"/>
      <c r="I91" s="45" t="str">
        <f>IF('Sortering af spørgsmål'!$C$21=Projektforudsætninger!$C$25,IF(Projektforudsætninger!C40="Totalentreprisekonkurrence eller OPP leverance",Arbejdsark!K294,""),"")</f>
        <v/>
      </c>
      <c r="J91" s="41" t="s">
        <v>9</v>
      </c>
      <c r="K91" s="41"/>
      <c r="L91" s="32"/>
      <c r="M91" s="32"/>
      <c r="N91" s="32"/>
      <c r="O91" s="32"/>
      <c r="P91" s="32"/>
      <c r="Q91" s="32"/>
      <c r="R91" s="32"/>
      <c r="S91" s="32"/>
      <c r="T91" s="32"/>
      <c r="U91" s="32"/>
    </row>
    <row r="92" spans="1:21" x14ac:dyDescent="0.45">
      <c r="A92" s="45"/>
      <c r="B92" s="45"/>
      <c r="C92" s="45"/>
      <c r="D92" s="46"/>
      <c r="E92" s="45"/>
      <c r="F92" s="45"/>
      <c r="G92" s="45"/>
      <c r="H92" s="45"/>
      <c r="I92" s="45"/>
      <c r="J92" s="47"/>
      <c r="K92" s="47"/>
      <c r="L92" s="19"/>
      <c r="M92" s="19"/>
      <c r="N92" s="19"/>
      <c r="O92" s="19"/>
      <c r="P92" s="19"/>
      <c r="Q92" s="19"/>
      <c r="R92" s="19"/>
      <c r="S92" s="19"/>
      <c r="T92" s="19"/>
      <c r="U92" s="19"/>
    </row>
    <row r="93" spans="1:21" ht="28.5" customHeight="1" x14ac:dyDescent="0.45">
      <c r="A93" s="56" t="str">
        <f>Arbejdsark!$A$300</f>
        <v>Plandisponering</v>
      </c>
      <c r="B93" s="57">
        <v>8</v>
      </c>
      <c r="C93" s="56"/>
      <c r="D93" s="56"/>
      <c r="E93" s="56"/>
      <c r="F93" s="56"/>
      <c r="G93" s="56"/>
      <c r="H93" s="56"/>
      <c r="I93" s="57" t="str">
        <f>IF('Sortering af spørgsmål'!$C$22=Projektforudsætninger!$C$25,"Udfyld spørgsmål","Ingen spørgsmål")</f>
        <v>Ingen spørgsmål</v>
      </c>
      <c r="J93" s="54"/>
      <c r="K93" s="54"/>
      <c r="L93" s="19"/>
      <c r="M93" s="19"/>
      <c r="N93" s="19"/>
      <c r="O93" s="19"/>
      <c r="P93" s="19"/>
      <c r="Q93" s="19"/>
      <c r="R93" s="19"/>
      <c r="S93" s="19"/>
      <c r="T93" s="19"/>
      <c r="U93" s="19"/>
    </row>
    <row r="94" spans="1:21" ht="97.5" customHeight="1" x14ac:dyDescent="0.45">
      <c r="A94" s="45" t="str">
        <f>Arbejdsark!$A$300</f>
        <v>Plandisponering</v>
      </c>
      <c r="B94" s="43" t="str">
        <f>Arbejdsark!$B$300</f>
        <v>8.1</v>
      </c>
      <c r="C94" s="45" t="str">
        <f>IF('Sortering af spørgsmål'!$C$22=Projektforudsætninger!$C$25,Arbejdsark!C300,"")</f>
        <v/>
      </c>
      <c r="D94" s="46" t="str">
        <f>Arbejdsark!D91</f>
        <v>ECO2.2
Vægtning: ECO2.2 pkt. 1.1 + 1.2 +1.3</v>
      </c>
      <c r="E94" s="45" t="str">
        <f>Arbejdsark!I91</f>
        <v>x</v>
      </c>
      <c r="F94" s="45">
        <f>Arbejdsark!J91</f>
        <v>0</v>
      </c>
      <c r="G94" s="45" t="e">
        <f>Arbejdsark!#REF!</f>
        <v>#REF!</v>
      </c>
      <c r="H94" s="45" t="e">
        <f>Arbejdsark!#REF!</f>
        <v>#REF!</v>
      </c>
      <c r="I94" s="45" t="str">
        <f>IF('Sortering af spørgsmål'!$C$22=Projektforudsætninger!$C$25,Arbejdsark!K300,"")</f>
        <v/>
      </c>
      <c r="J94" s="41" t="s">
        <v>9</v>
      </c>
      <c r="K94" s="41"/>
      <c r="L94" s="19"/>
      <c r="M94" s="19"/>
      <c r="N94" s="19"/>
      <c r="O94" s="19"/>
      <c r="P94" s="19"/>
      <c r="Q94" s="19"/>
      <c r="R94" s="19"/>
      <c r="S94" s="19"/>
      <c r="T94" s="19"/>
      <c r="U94" s="19"/>
    </row>
    <row r="95" spans="1:21" ht="113.65" customHeight="1" x14ac:dyDescent="0.45">
      <c r="A95" s="45" t="str">
        <f>Arbejdsark!$A$300</f>
        <v>Plandisponering</v>
      </c>
      <c r="B95" s="43" t="str">
        <f>Arbejdsark!$B$306</f>
        <v>8.2</v>
      </c>
      <c r="C95" s="45" t="str">
        <f>IF('Sortering af spørgsmål'!$C$22=Projektforudsætninger!$C$25,Arbejdsark!C306,"")</f>
        <v/>
      </c>
      <c r="D95" s="46">
        <f>Arbejdsark!D92</f>
        <v>0</v>
      </c>
      <c r="E95" s="45">
        <f>Arbejdsark!I92</f>
        <v>0</v>
      </c>
      <c r="F95" s="45">
        <f>Arbejdsark!J92</f>
        <v>0</v>
      </c>
      <c r="G95" s="45" t="e">
        <f>Arbejdsark!#REF!</f>
        <v>#REF!</v>
      </c>
      <c r="H95" s="45" t="e">
        <f>Arbejdsark!#REF!</f>
        <v>#REF!</v>
      </c>
      <c r="I95" s="45" t="str">
        <f>IF('Sortering af spørgsmål'!$C$22=Projektforudsætninger!$C$25,Arbejdsark!K306,"")</f>
        <v/>
      </c>
      <c r="J95" s="41" t="s">
        <v>9</v>
      </c>
      <c r="K95" s="41"/>
      <c r="L95" s="19"/>
      <c r="M95" s="19"/>
      <c r="N95" s="19"/>
      <c r="O95" s="19"/>
      <c r="P95" s="19"/>
      <c r="Q95" s="19"/>
      <c r="R95" s="19"/>
      <c r="S95" s="19"/>
      <c r="T95" s="19"/>
      <c r="U95" s="19"/>
    </row>
    <row r="96" spans="1:21" ht="141.75" customHeight="1" x14ac:dyDescent="0.45">
      <c r="A96" s="45" t="str">
        <f>Arbejdsark!$A$300</f>
        <v>Plandisponering</v>
      </c>
      <c r="B96" s="43" t="str">
        <f>Arbejdsark!$B$311</f>
        <v>8.3</v>
      </c>
      <c r="C96" s="45" t="str">
        <f>IF('Sortering af spørgsmål'!$C$22=Projektforudsætninger!$C$25,Arbejdsark!C311,"")</f>
        <v/>
      </c>
      <c r="D96" s="46">
        <f>Arbejdsark!D93</f>
        <v>0</v>
      </c>
      <c r="E96" s="45">
        <f>Arbejdsark!I93</f>
        <v>0</v>
      </c>
      <c r="F96" s="45">
        <f>Arbejdsark!J93</f>
        <v>0</v>
      </c>
      <c r="G96" s="45" t="e">
        <f>Arbejdsark!#REF!</f>
        <v>#REF!</v>
      </c>
      <c r="H96" s="45" t="e">
        <f>Arbejdsark!#REF!</f>
        <v>#REF!</v>
      </c>
      <c r="I96" s="45" t="str">
        <f>IF('Sortering af spørgsmål'!$C$22=Projektforudsætninger!$C$25,Arbejdsark!K311,"")</f>
        <v/>
      </c>
      <c r="J96" s="41" t="s">
        <v>9</v>
      </c>
      <c r="K96" s="41"/>
      <c r="L96" s="19"/>
      <c r="M96" s="19"/>
      <c r="N96" s="19"/>
      <c r="O96" s="19"/>
      <c r="P96" s="19"/>
      <c r="Q96" s="19"/>
      <c r="R96" s="19"/>
      <c r="S96" s="19"/>
      <c r="T96" s="19"/>
      <c r="U96" s="19"/>
    </row>
    <row r="97" spans="1:21" ht="113.65" customHeight="1" x14ac:dyDescent="0.45">
      <c r="A97" s="45" t="str">
        <f>Arbejdsark!$A$300</f>
        <v>Plandisponering</v>
      </c>
      <c r="B97" s="43" t="str">
        <f>Arbejdsark!$B$316</f>
        <v>8.4</v>
      </c>
      <c r="C97" s="45" t="str">
        <f>IF('Sortering af spørgsmål'!$C$22=Projektforudsætninger!$C$25,Arbejdsark!C316,"")</f>
        <v/>
      </c>
      <c r="D97" s="46">
        <f>Arbejdsark!D94</f>
        <v>0</v>
      </c>
      <c r="E97" s="45">
        <f>Arbejdsark!I94</f>
        <v>0</v>
      </c>
      <c r="F97" s="45">
        <f>Arbejdsark!J94</f>
        <v>0</v>
      </c>
      <c r="G97" s="45" t="e">
        <f>Arbejdsark!#REF!</f>
        <v>#REF!</v>
      </c>
      <c r="H97" s="45" t="e">
        <f>Arbejdsark!#REF!</f>
        <v>#REF!</v>
      </c>
      <c r="I97" s="45" t="str">
        <f>IF('Sortering af spørgsmål'!$C$22=Projektforudsætninger!$C$25,Arbejdsark!K316,"")</f>
        <v/>
      </c>
      <c r="J97" s="41" t="s">
        <v>9</v>
      </c>
      <c r="K97" s="41"/>
      <c r="L97" s="19"/>
      <c r="M97" s="19"/>
      <c r="N97" s="19"/>
      <c r="O97" s="19"/>
      <c r="P97" s="19"/>
      <c r="Q97" s="19"/>
      <c r="R97" s="19"/>
      <c r="S97" s="19"/>
      <c r="T97" s="19"/>
      <c r="U97" s="19"/>
    </row>
    <row r="98" spans="1:21" ht="127.5" customHeight="1" x14ac:dyDescent="0.45">
      <c r="A98" s="45" t="str">
        <f>Arbejdsark!$A$300</f>
        <v>Plandisponering</v>
      </c>
      <c r="B98" s="43" t="str">
        <f>Arbejdsark!$B$321</f>
        <v>8.5</v>
      </c>
      <c r="C98" s="45" t="str">
        <f>IF('Sortering af spørgsmål'!$C$22=Projektforudsætninger!$C$25,Arbejdsark!C321,"")</f>
        <v/>
      </c>
      <c r="D98" s="46">
        <f>Arbejdsark!D95</f>
        <v>0</v>
      </c>
      <c r="E98" s="45">
        <f>Arbejdsark!I95</f>
        <v>0</v>
      </c>
      <c r="F98" s="45">
        <f>Arbejdsark!J95</f>
        <v>0</v>
      </c>
      <c r="G98" s="45" t="e">
        <f>Arbejdsark!#REF!</f>
        <v>#REF!</v>
      </c>
      <c r="H98" s="45" t="e">
        <f>Arbejdsark!#REF!</f>
        <v>#REF!</v>
      </c>
      <c r="I98" s="45" t="str">
        <f>IF('Sortering af spørgsmål'!$C$22=Projektforudsætninger!$C$25,Arbejdsark!K321,"")</f>
        <v/>
      </c>
      <c r="J98" s="41" t="s">
        <v>9</v>
      </c>
      <c r="K98" s="41"/>
      <c r="L98" s="19"/>
      <c r="M98" s="19"/>
      <c r="N98" s="19"/>
      <c r="O98" s="19"/>
      <c r="P98" s="19"/>
      <c r="Q98" s="19"/>
      <c r="R98" s="19"/>
      <c r="S98" s="19"/>
      <c r="T98" s="19"/>
      <c r="U98" s="19"/>
    </row>
    <row r="99" spans="1:21" ht="141.75" customHeight="1" x14ac:dyDescent="0.45">
      <c r="A99" s="45" t="str">
        <f>Arbejdsark!$A$300</f>
        <v>Plandisponering</v>
      </c>
      <c r="B99" s="43" t="str">
        <f>Arbejdsark!$B$326</f>
        <v>8.6</v>
      </c>
      <c r="C99" s="45" t="str">
        <f>IF('Sortering af spørgsmål'!$C$22=Projektforudsætninger!$C$25,Arbejdsark!C326,"")</f>
        <v/>
      </c>
      <c r="D99" s="46" t="e">
        <f>Arbejdsark!#REF!</f>
        <v>#REF!</v>
      </c>
      <c r="E99" s="45" t="e">
        <f>Arbejdsark!#REF!</f>
        <v>#REF!</v>
      </c>
      <c r="F99" s="45" t="e">
        <f>Arbejdsark!#REF!</f>
        <v>#REF!</v>
      </c>
      <c r="G99" s="45" t="e">
        <f>Arbejdsark!#REF!</f>
        <v>#REF!</v>
      </c>
      <c r="H99" s="45" t="e">
        <f>Arbejdsark!#REF!</f>
        <v>#REF!</v>
      </c>
      <c r="I99" s="45" t="str">
        <f>IF('Sortering af spørgsmål'!$C$22=Projektforudsætninger!$C$25,Arbejdsark!K326,"")</f>
        <v/>
      </c>
      <c r="J99" s="41" t="s">
        <v>9</v>
      </c>
      <c r="K99" s="41"/>
      <c r="L99" s="19"/>
      <c r="M99" s="19"/>
      <c r="N99" s="19"/>
      <c r="O99" s="19"/>
      <c r="P99" s="19"/>
      <c r="Q99" s="19"/>
      <c r="R99" s="19"/>
      <c r="S99" s="19"/>
      <c r="T99" s="19"/>
      <c r="U99" s="19"/>
    </row>
    <row r="100" spans="1:21" ht="141.75" customHeight="1" x14ac:dyDescent="0.45">
      <c r="A100" s="45" t="str">
        <f>Arbejdsark!$A$300</f>
        <v>Plandisponering</v>
      </c>
      <c r="B100" s="43" t="str">
        <f>Arbejdsark!$B$331</f>
        <v>8.7</v>
      </c>
      <c r="C100" s="45" t="str">
        <f>IF('Sortering af spørgsmål'!$C$22=Projektforudsætninger!$C$25,Arbejdsark!C331,"")</f>
        <v/>
      </c>
      <c r="D100" s="46" t="str">
        <f>Arbejdsark!D109</f>
        <v>ECO1.1
Vægtning: 13% af ECO1.1</v>
      </c>
      <c r="E100" s="45" t="str">
        <f>Arbejdsark!I109</f>
        <v>x</v>
      </c>
      <c r="F100" s="45">
        <f>Arbejdsark!J109</f>
        <v>0</v>
      </c>
      <c r="G100" s="45" t="e">
        <f>Arbejdsark!#REF!</f>
        <v>#REF!</v>
      </c>
      <c r="H100" s="45" t="e">
        <f>Arbejdsark!#REF!</f>
        <v>#REF!</v>
      </c>
      <c r="I100" s="45" t="str">
        <f>IF('Sortering af spørgsmål'!$C$22=Projektforudsætninger!$C$25,Arbejdsark!K331,"")</f>
        <v/>
      </c>
      <c r="J100" s="41" t="s">
        <v>9</v>
      </c>
      <c r="K100" s="41"/>
      <c r="L100" s="19"/>
      <c r="M100" s="19"/>
      <c r="N100" s="19"/>
      <c r="O100" s="19"/>
      <c r="P100" s="19"/>
      <c r="Q100" s="19"/>
      <c r="R100" s="19"/>
      <c r="S100" s="19"/>
      <c r="T100" s="19"/>
      <c r="U100" s="19"/>
    </row>
    <row r="101" spans="1:21" ht="141.75" customHeight="1" x14ac:dyDescent="0.45">
      <c r="A101" s="45" t="str">
        <f>Arbejdsark!$A$300</f>
        <v>Plandisponering</v>
      </c>
      <c r="B101" s="43" t="str">
        <f>Arbejdsark!$B$336</f>
        <v>8.8</v>
      </c>
      <c r="C101" s="45" t="str">
        <f>IF('Sortering af spørgsmål'!$C$22=Projektforudsætninger!$C$25,Arbejdsark!C336,"")</f>
        <v/>
      </c>
      <c r="D101" s="46">
        <f>Arbejdsark!D110</f>
        <v>0</v>
      </c>
      <c r="E101" s="45">
        <f>Arbejdsark!I110</f>
        <v>0</v>
      </c>
      <c r="F101" s="45">
        <f>Arbejdsark!J110</f>
        <v>0</v>
      </c>
      <c r="G101" s="45" t="e">
        <f>Arbejdsark!#REF!</f>
        <v>#REF!</v>
      </c>
      <c r="H101" s="45" t="e">
        <f>Arbejdsark!#REF!</f>
        <v>#REF!</v>
      </c>
      <c r="I101" s="45" t="str">
        <f>IF('Sortering af spørgsmål'!$C$22=Projektforudsætninger!$C$25,Arbejdsark!K336,"")</f>
        <v/>
      </c>
      <c r="J101" s="41" t="s">
        <v>9</v>
      </c>
      <c r="K101" s="41"/>
      <c r="L101" s="19"/>
      <c r="M101" s="19"/>
      <c r="N101" s="19"/>
      <c r="O101" s="19"/>
      <c r="P101" s="19"/>
      <c r="Q101" s="19"/>
      <c r="R101" s="19"/>
      <c r="S101" s="19"/>
      <c r="T101" s="19"/>
      <c r="U101" s="19"/>
    </row>
    <row r="102" spans="1:21" ht="141.75" customHeight="1" x14ac:dyDescent="0.45">
      <c r="A102" s="45" t="str">
        <f>Arbejdsark!$A$300</f>
        <v>Plandisponering</v>
      </c>
      <c r="B102" s="43" t="str">
        <f>Arbejdsark!$B$341</f>
        <v>8.9</v>
      </c>
      <c r="C102" s="45" t="str">
        <f>IF('Sortering af spørgsmål'!$C$22=Projektforudsætninger!$C$25,Arbejdsark!C341,"")</f>
        <v/>
      </c>
      <c r="D102" s="46">
        <f>Arbejdsark!D111</f>
        <v>0</v>
      </c>
      <c r="E102" s="45">
        <f>Arbejdsark!I111</f>
        <v>0</v>
      </c>
      <c r="F102" s="45">
        <f>Arbejdsark!J111</f>
        <v>0</v>
      </c>
      <c r="G102" s="45" t="e">
        <f>Arbejdsark!#REF!</f>
        <v>#REF!</v>
      </c>
      <c r="H102" s="45" t="e">
        <f>Arbejdsark!#REF!</f>
        <v>#REF!</v>
      </c>
      <c r="I102" s="45" t="str">
        <f>IF('Sortering af spørgsmål'!$C$22=Projektforudsætninger!$C$25,Arbejdsark!K341,"")</f>
        <v/>
      </c>
      <c r="J102" s="41" t="s">
        <v>9</v>
      </c>
      <c r="K102" s="41"/>
      <c r="L102" s="19"/>
      <c r="M102" s="19"/>
      <c r="N102" s="19"/>
      <c r="O102" s="19"/>
      <c r="P102" s="19"/>
      <c r="Q102" s="19"/>
      <c r="R102" s="19"/>
      <c r="S102" s="19"/>
      <c r="T102" s="19"/>
      <c r="U102" s="19"/>
    </row>
    <row r="103" spans="1:21" ht="141.75" customHeight="1" x14ac:dyDescent="0.45">
      <c r="A103" s="45" t="str">
        <f>Arbejdsark!$A$300</f>
        <v>Plandisponering</v>
      </c>
      <c r="B103" s="43" t="str">
        <f>Arbejdsark!$B$346</f>
        <v>8.10</v>
      </c>
      <c r="C103" s="45" t="str">
        <f>IF('Sortering af spørgsmål'!$C$22=Projektforudsætninger!$C$25,Arbejdsark!C346,"")</f>
        <v/>
      </c>
      <c r="D103" s="46">
        <f>Arbejdsark!D112</f>
        <v>0</v>
      </c>
      <c r="E103" s="45">
        <f>Arbejdsark!I112</f>
        <v>0</v>
      </c>
      <c r="F103" s="45">
        <f>Arbejdsark!J112</f>
        <v>0</v>
      </c>
      <c r="G103" s="45" t="e">
        <f>Arbejdsark!#REF!</f>
        <v>#REF!</v>
      </c>
      <c r="H103" s="45" t="e">
        <f>Arbejdsark!#REF!</f>
        <v>#REF!</v>
      </c>
      <c r="I103" s="45" t="str">
        <f>IF('Sortering af spørgsmål'!$C$22=Projektforudsætninger!$C$25,Arbejdsark!K346,"")</f>
        <v/>
      </c>
      <c r="J103" s="41" t="s">
        <v>9</v>
      </c>
      <c r="K103" s="41"/>
      <c r="L103" s="19"/>
      <c r="M103" s="19"/>
      <c r="N103" s="19"/>
      <c r="O103" s="19"/>
      <c r="P103" s="19"/>
      <c r="Q103" s="19"/>
      <c r="R103" s="19"/>
      <c r="S103" s="19"/>
      <c r="T103" s="19"/>
      <c r="U103" s="19"/>
    </row>
    <row r="104" spans="1:21" ht="85.15" customHeight="1" x14ac:dyDescent="0.45">
      <c r="A104" s="45" t="str">
        <f>Arbejdsark!$A$300</f>
        <v>Plandisponering</v>
      </c>
      <c r="B104" s="43" t="str">
        <f>Arbejdsark!$B$351</f>
        <v>8.11</v>
      </c>
      <c r="C104" s="45" t="str">
        <f>IF('Sortering af spørgsmål'!$C$22=Projektforudsætninger!$C$25,Arbejdsark!C351,"")</f>
        <v/>
      </c>
      <c r="D104" s="46">
        <f>Arbejdsark!D113</f>
        <v>0</v>
      </c>
      <c r="E104" s="45">
        <f>Arbejdsark!I113</f>
        <v>0</v>
      </c>
      <c r="F104" s="45">
        <f>Arbejdsark!J113</f>
        <v>0</v>
      </c>
      <c r="G104" s="45" t="e">
        <f>Arbejdsark!#REF!</f>
        <v>#REF!</v>
      </c>
      <c r="H104" s="45" t="e">
        <f>Arbejdsark!#REF!</f>
        <v>#REF!</v>
      </c>
      <c r="I104" s="45" t="str">
        <f>IF('Sortering af spørgsmål'!$C$22=Projektforudsætninger!$C$25,Arbejdsark!K351,"")</f>
        <v/>
      </c>
      <c r="J104" s="41" t="s">
        <v>9</v>
      </c>
      <c r="K104" s="41"/>
    </row>
    <row r="105" spans="1:21" ht="113.65" customHeight="1" x14ac:dyDescent="0.45">
      <c r="A105" s="45" t="str">
        <f>Arbejdsark!$A$300</f>
        <v>Plandisponering</v>
      </c>
      <c r="B105" s="43" t="str">
        <f>Arbejdsark!$B$356</f>
        <v>8.12</v>
      </c>
      <c r="C105" s="45" t="str">
        <f>IF('Sortering af spørgsmål'!$C$22=Projektforudsætninger!$C$25,Arbejdsark!C356,"")</f>
        <v/>
      </c>
      <c r="D105" s="46">
        <f>Arbejdsark!D113</f>
        <v>0</v>
      </c>
      <c r="E105" s="45">
        <f>Arbejdsark!I113</f>
        <v>0</v>
      </c>
      <c r="F105" s="45">
        <f>Arbejdsark!J113</f>
        <v>0</v>
      </c>
      <c r="G105" s="45" t="e">
        <f>Arbejdsark!#REF!</f>
        <v>#REF!</v>
      </c>
      <c r="H105" s="45" t="e">
        <f>Arbejdsark!#REF!</f>
        <v>#REF!</v>
      </c>
      <c r="I105" s="45" t="str">
        <f>IF('Sortering af spørgsmål'!$C$22=Projektforudsætninger!$C$25,Arbejdsark!K356,"")</f>
        <v/>
      </c>
      <c r="J105" s="41" t="s">
        <v>9</v>
      </c>
      <c r="K105" s="41"/>
    </row>
    <row r="106" spans="1:21" ht="141.75" customHeight="1" x14ac:dyDescent="0.45">
      <c r="A106" s="45" t="str">
        <f>Arbejdsark!$A$300</f>
        <v>Plandisponering</v>
      </c>
      <c r="B106" s="43" t="str">
        <f>Arbejdsark!$B$361</f>
        <v>8.13</v>
      </c>
      <c r="C106" s="45" t="str">
        <f>IF('Sortering af spørgsmål'!$C$22=Projektforudsætninger!$C$25,Arbejdsark!C361,"")</f>
        <v/>
      </c>
      <c r="D106" s="46" t="str">
        <f>Arbejdsark!D114</f>
        <v>ECO2.1
Vægtning: ECO2.1 pkt 2</v>
      </c>
      <c r="E106" s="45" t="str">
        <f>Arbejdsark!I114</f>
        <v>x</v>
      </c>
      <c r="F106" s="45">
        <f>Arbejdsark!J114</f>
        <v>0</v>
      </c>
      <c r="G106" s="45" t="e">
        <f>Arbejdsark!#REF!</f>
        <v>#REF!</v>
      </c>
      <c r="H106" s="45" t="e">
        <f>Arbejdsark!#REF!</f>
        <v>#REF!</v>
      </c>
      <c r="I106" s="45" t="str">
        <f>IF('Sortering af spørgsmål'!$C$22=Projektforudsætninger!$C$25,Arbejdsark!K361,"")</f>
        <v/>
      </c>
      <c r="J106" s="41" t="s">
        <v>9</v>
      </c>
      <c r="K106" s="41"/>
    </row>
    <row r="107" spans="1:21" ht="99.4" customHeight="1" x14ac:dyDescent="0.45">
      <c r="A107" s="45" t="str">
        <f>Arbejdsark!$A$300</f>
        <v>Plandisponering</v>
      </c>
      <c r="B107" s="43" t="str">
        <f>Arbejdsark!$B$366</f>
        <v>8.14</v>
      </c>
      <c r="C107" s="45" t="str">
        <f>IF('Sortering af spørgsmål'!$C$22=Projektforudsætninger!$C$25,Arbejdsark!C366,"")</f>
        <v/>
      </c>
      <c r="D107" s="46"/>
      <c r="E107" s="45"/>
      <c r="F107" s="45"/>
      <c r="G107" s="45"/>
      <c r="H107" s="45"/>
      <c r="I107" s="45" t="str">
        <f>IF('Sortering af spørgsmål'!$C$22=Projektforudsætninger!$C$25,Arbejdsark!K366,"")</f>
        <v/>
      </c>
      <c r="J107" s="41" t="s">
        <v>9</v>
      </c>
      <c r="K107" s="41"/>
    </row>
    <row r="108" spans="1:21" ht="85.15" customHeight="1" x14ac:dyDescent="0.45">
      <c r="A108" s="45" t="str">
        <f>Arbejdsark!$A$300</f>
        <v>Plandisponering</v>
      </c>
      <c r="B108" s="43" t="str">
        <f>Arbejdsark!$B$371</f>
        <v>8.15</v>
      </c>
      <c r="C108" s="45" t="str">
        <f>IF('Sortering af spørgsmål'!$C$22=Projektforudsætninger!$C$25,Arbejdsark!C371,"")</f>
        <v/>
      </c>
      <c r="D108" s="46">
        <f>Arbejdsark!D115</f>
        <v>0</v>
      </c>
      <c r="E108" s="45">
        <f>Arbejdsark!I115</f>
        <v>0</v>
      </c>
      <c r="F108" s="45">
        <f>Arbejdsark!J115</f>
        <v>0</v>
      </c>
      <c r="G108" s="45" t="e">
        <f>Arbejdsark!#REF!</f>
        <v>#REF!</v>
      </c>
      <c r="H108" s="45" t="e">
        <f>Arbejdsark!#REF!</f>
        <v>#REF!</v>
      </c>
      <c r="I108" s="45" t="str">
        <f>IF('Sortering af spørgsmål'!$C$22=Projektforudsætninger!$C$25,Arbejdsark!K371,"")</f>
        <v/>
      </c>
      <c r="J108" s="41" t="s">
        <v>9</v>
      </c>
      <c r="K108" s="41"/>
    </row>
    <row r="109" spans="1:21" x14ac:dyDescent="0.45">
      <c r="A109" s="45"/>
      <c r="B109" s="45"/>
      <c r="C109" s="45"/>
      <c r="D109" s="46"/>
      <c r="E109" s="45"/>
      <c r="F109" s="45"/>
      <c r="G109" s="45"/>
      <c r="H109" s="45"/>
      <c r="I109" s="45"/>
      <c r="J109" s="47"/>
      <c r="K109" s="47"/>
    </row>
    <row r="110" spans="1:21" ht="28.5" customHeight="1" x14ac:dyDescent="0.45">
      <c r="A110" s="274" t="str">
        <f>Arbejdsark!$A$376</f>
        <v>TEKNISK KVALITET</v>
      </c>
      <c r="B110" s="274"/>
      <c r="C110" s="274"/>
      <c r="D110" s="274"/>
      <c r="E110" s="274"/>
      <c r="F110" s="274"/>
      <c r="G110" s="274"/>
      <c r="H110" s="274"/>
      <c r="I110" s="275"/>
      <c r="J110" s="276"/>
      <c r="K110" s="276"/>
    </row>
    <row r="111" spans="1:21" ht="28.5" customHeight="1" x14ac:dyDescent="0.45">
      <c r="A111" s="58" t="str">
        <f>$A$4</f>
        <v>Tema</v>
      </c>
      <c r="B111" s="58" t="str">
        <f t="shared" ref="B111" si="2">B4</f>
        <v>ID</v>
      </c>
      <c r="C111" s="58" t="str">
        <f>$C$4</f>
        <v>Emne</v>
      </c>
      <c r="D111" s="58" t="str">
        <f>D4</f>
        <v>DGNB kriterium</v>
      </c>
      <c r="E111" s="58" t="str">
        <f>E4</f>
        <v>Byggeudvalg eller Hovedbestyrelse</v>
      </c>
      <c r="F111" s="58" t="str">
        <f>F4</f>
        <v>Projektleder</v>
      </c>
      <c r="G111" s="58" t="str">
        <f>G4</f>
        <v>#REFERENCE!</v>
      </c>
      <c r="H111" s="58" t="str">
        <f>H4</f>
        <v>Ikon</v>
      </c>
      <c r="I111" s="58" t="str">
        <f>$I$4</f>
        <v>Spørgsmål</v>
      </c>
      <c r="J111" s="59" t="str">
        <f>$J$4</f>
        <v>Svar</v>
      </c>
      <c r="K111" s="59" t="str">
        <f>$K$4</f>
        <v>Uddybende kommentarer</v>
      </c>
    </row>
    <row r="112" spans="1:21" ht="28.5" customHeight="1" x14ac:dyDescent="0.45">
      <c r="A112" s="274" t="str">
        <f>Arbejdsark!$A$378</f>
        <v>Personsikkerhed</v>
      </c>
      <c r="B112" s="274">
        <v>1</v>
      </c>
      <c r="C112" s="274"/>
      <c r="D112" s="274"/>
      <c r="E112" s="274"/>
      <c r="F112" s="274"/>
      <c r="G112" s="274"/>
      <c r="H112" s="274"/>
      <c r="I112" s="275" t="str">
        <f>IF('Sortering af spørgsmål'!$C$23=Projektforudsætninger!$C$25,"Udfyld spørgsmål","Ingen spørgsmål")</f>
        <v>Ingen spørgsmål</v>
      </c>
      <c r="J112" s="276"/>
      <c r="K112" s="276"/>
    </row>
    <row r="113" spans="1:11" ht="99.4" customHeight="1" x14ac:dyDescent="0.45">
      <c r="A113" s="45" t="str">
        <f>Arbejdsark!$A$378</f>
        <v>Personsikkerhed</v>
      </c>
      <c r="B113" s="43" t="str">
        <f>Arbejdsark!$B$378</f>
        <v>1.1</v>
      </c>
      <c r="C113" s="45" t="str">
        <f>IF('Sortering af spørgsmål'!$C$23=Projektforudsætninger!$C$25,Arbejdsark!C378,"")</f>
        <v/>
      </c>
      <c r="D113" s="46">
        <f>Arbejdsark!D120</f>
        <v>0</v>
      </c>
      <c r="E113" s="45">
        <f>Arbejdsark!I120</f>
        <v>0</v>
      </c>
      <c r="F113" s="45">
        <f>Arbejdsark!J120</f>
        <v>0</v>
      </c>
      <c r="G113" s="45" t="e">
        <f>Arbejdsark!#REF!</f>
        <v>#REF!</v>
      </c>
      <c r="H113" s="45" t="e">
        <f>Arbejdsark!#REF!</f>
        <v>#REF!</v>
      </c>
      <c r="I113" s="45" t="str">
        <f>IF('Sortering af spørgsmål'!$C$23=Projektforudsætninger!$C$25,Arbejdsark!K378,"")</f>
        <v/>
      </c>
      <c r="J113" s="41" t="s">
        <v>9</v>
      </c>
      <c r="K113" s="41"/>
    </row>
    <row r="114" spans="1:11" ht="99.4" customHeight="1" x14ac:dyDescent="0.45">
      <c r="A114" s="45" t="str">
        <f>Arbejdsark!$A$378</f>
        <v>Personsikkerhed</v>
      </c>
      <c r="B114" s="43" t="str">
        <f>Arbejdsark!$B$383</f>
        <v>1.2</v>
      </c>
      <c r="C114" s="45" t="str">
        <f>IF('Sortering af spørgsmål'!$C$23=Projektforudsætninger!$C$25,Arbejdsark!C383,"")</f>
        <v/>
      </c>
      <c r="D114" s="46"/>
      <c r="E114" s="45"/>
      <c r="F114" s="45"/>
      <c r="G114" s="45"/>
      <c r="H114" s="45"/>
      <c r="I114" s="45" t="str">
        <f>IF('Sortering af spørgsmål'!$C$23=Projektforudsætninger!$C$25,Arbejdsark!K383,"")</f>
        <v/>
      </c>
      <c r="J114" s="41" t="s">
        <v>9</v>
      </c>
      <c r="K114" s="41"/>
    </row>
    <row r="115" spans="1:11" x14ac:dyDescent="0.45">
      <c r="A115" s="45"/>
      <c r="B115" s="45"/>
      <c r="C115" s="45"/>
      <c r="D115" s="46"/>
      <c r="E115" s="45"/>
      <c r="F115" s="45"/>
      <c r="G115" s="45"/>
      <c r="H115" s="45"/>
      <c r="I115" s="45"/>
      <c r="J115" s="47"/>
      <c r="K115" s="47"/>
    </row>
    <row r="116" spans="1:11" ht="28.5" customHeight="1" x14ac:dyDescent="0.45">
      <c r="A116" s="274" t="str">
        <f>Arbejdsark!$A$388</f>
        <v>Klimaskærmens kvalitet</v>
      </c>
      <c r="B116" s="274">
        <v>2</v>
      </c>
      <c r="C116" s="274"/>
      <c r="D116" s="274"/>
      <c r="E116" s="274"/>
      <c r="F116" s="274"/>
      <c r="G116" s="274"/>
      <c r="H116" s="274"/>
      <c r="I116" s="275" t="str">
        <f>IF('Sortering af spørgsmål'!$C$24=Projektforudsætninger!$C$25,"Udfyld spørgsmål","Ingen spørgsmål")</f>
        <v>Ingen spørgsmål</v>
      </c>
      <c r="J116" s="276"/>
      <c r="K116" s="276"/>
    </row>
    <row r="117" spans="1:11" ht="113.65" customHeight="1" x14ac:dyDescent="0.45">
      <c r="A117" s="45" t="str">
        <f>Arbejdsark!$A$388</f>
        <v>Klimaskærmens kvalitet</v>
      </c>
      <c r="B117" s="43" t="str">
        <f>Arbejdsark!$B$388</f>
        <v>2.1</v>
      </c>
      <c r="C117" s="45" t="str">
        <f>IF('Sortering af spørgsmål'!$C$24=Projektforudsætninger!$C$25,Arbejdsark!C388,"")</f>
        <v/>
      </c>
      <c r="D117" s="46">
        <f>Arbejdsark!D125</f>
        <v>0</v>
      </c>
      <c r="E117" s="45">
        <f>Arbejdsark!I125</f>
        <v>0</v>
      </c>
      <c r="F117" s="45">
        <f>Arbejdsark!J125</f>
        <v>0</v>
      </c>
      <c r="G117" s="45" t="e">
        <f>Arbejdsark!#REF!</f>
        <v>#REF!</v>
      </c>
      <c r="H117" s="45" t="e">
        <f>Arbejdsark!#REF!</f>
        <v>#REF!</v>
      </c>
      <c r="I117" s="45" t="str">
        <f>IF('Sortering af spørgsmål'!$C$24=Projektforudsætninger!$C$25,Arbejdsark!K388,"")</f>
        <v/>
      </c>
      <c r="J117" s="41" t="s">
        <v>9</v>
      </c>
      <c r="K117" s="41"/>
    </row>
    <row r="118" spans="1:11" ht="113.65" customHeight="1" x14ac:dyDescent="0.45">
      <c r="A118" s="45" t="str">
        <f>Arbejdsark!$A$388</f>
        <v>Klimaskærmens kvalitet</v>
      </c>
      <c r="B118" s="43" t="str">
        <f>Arbejdsark!$B$393</f>
        <v>2.2</v>
      </c>
      <c r="C118" s="45" t="str">
        <f>IF('Sortering af spørgsmål'!$C$24=Projektforudsætninger!$C$25,Arbejdsark!C393,"")</f>
        <v/>
      </c>
      <c r="D118" s="46">
        <f>Arbejdsark!D126</f>
        <v>0</v>
      </c>
      <c r="E118" s="45">
        <f>Arbejdsark!I126</f>
        <v>0</v>
      </c>
      <c r="F118" s="45">
        <f>Arbejdsark!J126</f>
        <v>0</v>
      </c>
      <c r="G118" s="45" t="e">
        <f>Arbejdsark!#REF!</f>
        <v>#REF!</v>
      </c>
      <c r="H118" s="45" t="e">
        <f>Arbejdsark!#REF!</f>
        <v>#REF!</v>
      </c>
      <c r="I118" s="45" t="str">
        <f>IF('Sortering af spørgsmål'!$C$24=Projektforudsætninger!$C$25,Arbejdsark!K393,"")</f>
        <v/>
      </c>
      <c r="J118" s="41" t="s">
        <v>9</v>
      </c>
      <c r="K118" s="41"/>
    </row>
    <row r="119" spans="1:11" ht="113.65" customHeight="1" x14ac:dyDescent="0.45">
      <c r="A119" s="45" t="str">
        <f>Arbejdsark!$A$388</f>
        <v>Klimaskærmens kvalitet</v>
      </c>
      <c r="B119" s="43" t="str">
        <f>Arbejdsark!$B$398</f>
        <v>2.3</v>
      </c>
      <c r="C119" s="45" t="str">
        <f>IF('Sortering af spørgsmål'!$C$24=Projektforudsætninger!$C$25,Arbejdsark!C398,"")</f>
        <v/>
      </c>
      <c r="D119" s="46">
        <f>Arbejdsark!D127</f>
        <v>0</v>
      </c>
      <c r="E119" s="45">
        <f>Arbejdsark!I127</f>
        <v>0</v>
      </c>
      <c r="F119" s="45">
        <f>Arbejdsark!J127</f>
        <v>0</v>
      </c>
      <c r="G119" s="45" t="e">
        <f>Arbejdsark!#REF!</f>
        <v>#REF!</v>
      </c>
      <c r="H119" s="45" t="e">
        <f>Arbejdsark!#REF!</f>
        <v>#REF!</v>
      </c>
      <c r="I119" s="45" t="str">
        <f>IF('Sortering af spørgsmål'!$C$24=Projektforudsætninger!$C$25,Arbejdsark!K398,"")</f>
        <v/>
      </c>
      <c r="J119" s="41" t="s">
        <v>9</v>
      </c>
      <c r="K119" s="41"/>
    </row>
    <row r="120" spans="1:11" ht="141.75" customHeight="1" x14ac:dyDescent="0.45">
      <c r="A120" s="45" t="str">
        <f>Arbejdsark!$A$388</f>
        <v>Klimaskærmens kvalitet</v>
      </c>
      <c r="B120" s="43" t="str">
        <f>Arbejdsark!$B$403</f>
        <v>2.4</v>
      </c>
      <c r="C120" s="45" t="str">
        <f>IF('Sortering af spørgsmål'!$C$24=Projektforudsætninger!$C$25,Arbejdsark!C403,"")</f>
        <v/>
      </c>
      <c r="D120" s="46">
        <f>Arbejdsark!D128</f>
        <v>0</v>
      </c>
      <c r="E120" s="45">
        <f>Arbejdsark!I128</f>
        <v>0</v>
      </c>
      <c r="F120" s="45">
        <f>Arbejdsark!J128</f>
        <v>0</v>
      </c>
      <c r="G120" s="45" t="e">
        <f>Arbejdsark!#REF!</f>
        <v>#REF!</v>
      </c>
      <c r="H120" s="45" t="e">
        <f>Arbejdsark!#REF!</f>
        <v>#REF!</v>
      </c>
      <c r="I120" s="45" t="str">
        <f>IF('Sortering af spørgsmål'!$C$24=Projektforudsætninger!$C$25,Arbejdsark!K403,"")</f>
        <v/>
      </c>
      <c r="J120" s="41" t="s">
        <v>9</v>
      </c>
      <c r="K120" s="41"/>
    </row>
    <row r="121" spans="1:11" ht="56.85" customHeight="1" x14ac:dyDescent="0.45">
      <c r="A121" s="45" t="str">
        <f>Arbejdsark!$A$388</f>
        <v>Klimaskærmens kvalitet</v>
      </c>
      <c r="B121" s="43" t="str">
        <f>Arbejdsark!$B$408</f>
        <v>2.5</v>
      </c>
      <c r="C121" s="45" t="str">
        <f>IF('Sortering af spørgsmål'!$C$24=Projektforudsætninger!$C$25,Arbejdsark!C408,"")</f>
        <v/>
      </c>
      <c r="D121" s="46"/>
      <c r="E121" s="45"/>
      <c r="F121" s="45"/>
      <c r="G121" s="45"/>
      <c r="H121" s="45"/>
      <c r="I121" s="45" t="str">
        <f>IF('Sortering af spørgsmål'!$C$24=Projektforudsætninger!$C$25,Arbejdsark!K408,"")</f>
        <v/>
      </c>
      <c r="J121" s="41" t="s">
        <v>9</v>
      </c>
      <c r="K121" s="41"/>
    </row>
    <row r="122" spans="1:11" ht="85.15" customHeight="1" x14ac:dyDescent="0.45">
      <c r="A122" s="45" t="str">
        <f>Arbejdsark!$A$388</f>
        <v>Klimaskærmens kvalitet</v>
      </c>
      <c r="B122" s="43" t="str">
        <f>Arbejdsark!$B$413</f>
        <v>2.6</v>
      </c>
      <c r="C122" s="45" t="str">
        <f>IF('Sortering af spørgsmål'!$C$24=Projektforudsætninger!$C$25,Arbejdsark!C413,"")</f>
        <v/>
      </c>
      <c r="D122" s="46" t="str">
        <f>Arbejdsark!D129</f>
        <v>ECO2.1
Vægtning: ECO2.1 pkt 5</v>
      </c>
      <c r="E122" s="45" t="str">
        <f>Arbejdsark!I129</f>
        <v>x</v>
      </c>
      <c r="F122" s="45">
        <f>Arbejdsark!J129</f>
        <v>0</v>
      </c>
      <c r="G122" s="45" t="e">
        <f>Arbejdsark!#REF!</f>
        <v>#REF!</v>
      </c>
      <c r="H122" s="45" t="e">
        <f>Arbejdsark!#REF!</f>
        <v>#REF!</v>
      </c>
      <c r="I122" s="45" t="str">
        <f>IF('Sortering af spørgsmål'!$C$24=Projektforudsætninger!$C$25,Arbejdsark!K413,"")</f>
        <v/>
      </c>
      <c r="J122" s="41" t="s">
        <v>9</v>
      </c>
      <c r="K122" s="41"/>
    </row>
    <row r="123" spans="1:11" ht="85.15" customHeight="1" x14ac:dyDescent="0.45">
      <c r="A123" s="45" t="str">
        <f>Arbejdsark!$A$388</f>
        <v>Klimaskærmens kvalitet</v>
      </c>
      <c r="B123" s="43" t="str">
        <f>Arbejdsark!$B$418</f>
        <v>2.7</v>
      </c>
      <c r="C123" s="45" t="str">
        <f>IF('Sortering af spørgsmål'!$C$24=Projektforudsætninger!$C$25,Arbejdsark!C418,"")</f>
        <v/>
      </c>
      <c r="D123" s="46">
        <f>Arbejdsark!D130</f>
        <v>0</v>
      </c>
      <c r="E123" s="45">
        <f>Arbejdsark!I130</f>
        <v>0</v>
      </c>
      <c r="F123" s="45">
        <f>Arbejdsark!J130</f>
        <v>0</v>
      </c>
      <c r="G123" s="45" t="e">
        <f>Arbejdsark!#REF!</f>
        <v>#REF!</v>
      </c>
      <c r="H123" s="45" t="e">
        <f>Arbejdsark!#REF!</f>
        <v>#REF!</v>
      </c>
      <c r="I123" s="45" t="str">
        <f>IF('Sortering af spørgsmål'!$C$24=Projektforudsætninger!$C$25,Arbejdsark!K418,"")</f>
        <v/>
      </c>
      <c r="J123" s="41" t="s">
        <v>9</v>
      </c>
      <c r="K123" s="41"/>
    </row>
    <row r="124" spans="1:11" x14ac:dyDescent="0.45">
      <c r="A124" s="45"/>
      <c r="B124" s="45"/>
      <c r="C124" s="45"/>
      <c r="D124" s="46"/>
      <c r="E124" s="45"/>
      <c r="F124" s="45"/>
      <c r="G124" s="45"/>
      <c r="H124" s="45"/>
      <c r="I124" s="45"/>
      <c r="J124" s="47"/>
      <c r="K124" s="47"/>
    </row>
    <row r="125" spans="1:11" ht="28.5" customHeight="1" x14ac:dyDescent="0.45">
      <c r="A125" s="274" t="str">
        <f>Arbejdsark!$A$424</f>
        <v>Renhold og vedligehold</v>
      </c>
      <c r="B125" s="274">
        <v>3</v>
      </c>
      <c r="C125" s="274"/>
      <c r="D125" s="274"/>
      <c r="E125" s="274"/>
      <c r="F125" s="274"/>
      <c r="G125" s="274"/>
      <c r="H125" s="274"/>
      <c r="I125" s="275" t="str">
        <f>IF('Sortering af spørgsmål'!$C$25=Projektforudsætninger!$C$25,"Udfyld spørgsmål","Ingen spørgsmål")</f>
        <v>Ingen spørgsmål</v>
      </c>
      <c r="J125" s="276"/>
      <c r="K125" s="276"/>
    </row>
    <row r="126" spans="1:11" ht="113.65" customHeight="1" x14ac:dyDescent="0.45">
      <c r="A126" s="45" t="str">
        <f>Arbejdsark!$A$424</f>
        <v>Renhold og vedligehold</v>
      </c>
      <c r="B126" s="43" t="str">
        <f>Arbejdsark!$B$424</f>
        <v>3.1</v>
      </c>
      <c r="C126" s="45" t="str">
        <f>IF('Sortering af spørgsmål'!$C$25=Projektforudsætninger!$C$25,Arbejdsark!C424,"")</f>
        <v/>
      </c>
      <c r="D126" s="46" t="str">
        <f>Arbejdsark!D134</f>
        <v>ECO2.1
Vægtning: 75% af ECO2.1 pkt 6</v>
      </c>
      <c r="E126" s="45" t="str">
        <f>Arbejdsark!I134</f>
        <v>x</v>
      </c>
      <c r="F126" s="45">
        <f>Arbejdsark!J134</f>
        <v>0</v>
      </c>
      <c r="G126" s="45" t="e">
        <f>Arbejdsark!#REF!</f>
        <v>#REF!</v>
      </c>
      <c r="H126" s="45" t="e">
        <f>Arbejdsark!#REF!</f>
        <v>#REF!</v>
      </c>
      <c r="I126" s="45" t="str">
        <f>IF('Sortering af spørgsmål'!$C$25=Projektforudsætninger!$C$25,Arbejdsark!K424,"")</f>
        <v/>
      </c>
      <c r="J126" s="41" t="s">
        <v>9</v>
      </c>
      <c r="K126" s="41"/>
    </row>
    <row r="127" spans="1:11" ht="113.65" customHeight="1" x14ac:dyDescent="0.45">
      <c r="A127" s="45" t="str">
        <f>Arbejdsark!$A$424</f>
        <v>Renhold og vedligehold</v>
      </c>
      <c r="B127" s="43" t="str">
        <f>Arbejdsark!$B$429</f>
        <v>3.2</v>
      </c>
      <c r="C127" s="45" t="str">
        <f>IF('Sortering af spørgsmål'!$C$25=Projektforudsætninger!$C$25,Arbejdsark!C429,"")</f>
        <v/>
      </c>
      <c r="D127" s="46">
        <f>Arbejdsark!D135</f>
        <v>0</v>
      </c>
      <c r="E127" s="45">
        <f>Arbejdsark!I135</f>
        <v>0</v>
      </c>
      <c r="F127" s="45">
        <f>Arbejdsark!J135</f>
        <v>0</v>
      </c>
      <c r="G127" s="45" t="e">
        <f>Arbejdsark!#REF!</f>
        <v>#REF!</v>
      </c>
      <c r="H127" s="45" t="e">
        <f>Arbejdsark!#REF!</f>
        <v>#REF!</v>
      </c>
      <c r="I127" s="45" t="str">
        <f>IF('Sortering af spørgsmål'!$C$25=Projektforudsætninger!$C$25,Arbejdsark!K429,"")</f>
        <v/>
      </c>
      <c r="J127" s="41" t="s">
        <v>9</v>
      </c>
      <c r="K127" s="41"/>
    </row>
    <row r="128" spans="1:11" ht="156" customHeight="1" x14ac:dyDescent="0.45">
      <c r="A128" s="45" t="str">
        <f>Arbejdsark!$A$424</f>
        <v>Renhold og vedligehold</v>
      </c>
      <c r="B128" s="43" t="str">
        <f>Arbejdsark!$B$434</f>
        <v>3.3</v>
      </c>
      <c r="C128" s="45" t="str">
        <f>IF('Sortering af spørgsmål'!$C$25=Projektforudsætninger!$C$25,Arbejdsark!C434,"")</f>
        <v/>
      </c>
      <c r="D128" s="46">
        <f>Arbejdsark!D136</f>
        <v>0</v>
      </c>
      <c r="E128" s="45">
        <f>Arbejdsark!I136</f>
        <v>0</v>
      </c>
      <c r="F128" s="45">
        <f>Arbejdsark!J136</f>
        <v>0</v>
      </c>
      <c r="G128" s="45" t="e">
        <f>Arbejdsark!#REF!</f>
        <v>#REF!</v>
      </c>
      <c r="H128" s="45" t="e">
        <f>Arbejdsark!#REF!</f>
        <v>#REF!</v>
      </c>
      <c r="I128" s="45" t="str">
        <f>IF('Sortering af spørgsmål'!$C$25=Projektforudsætninger!$C$25,Arbejdsark!K434,"")</f>
        <v/>
      </c>
      <c r="J128" s="41" t="s">
        <v>9</v>
      </c>
      <c r="K128" s="41"/>
    </row>
    <row r="129" spans="1:11" ht="99.4" customHeight="1" x14ac:dyDescent="0.45">
      <c r="A129" s="45" t="str">
        <f>Arbejdsark!$A$424</f>
        <v>Renhold og vedligehold</v>
      </c>
      <c r="B129" s="43" t="str">
        <f>Arbejdsark!$B$439</f>
        <v>3.4</v>
      </c>
      <c r="C129" s="45" t="str">
        <f>IF('Sortering af spørgsmål'!$C$25=Projektforudsætninger!$C$25,Arbejdsark!C439,"")</f>
        <v/>
      </c>
      <c r="D129" s="46">
        <f>Arbejdsark!D137</f>
        <v>0</v>
      </c>
      <c r="E129" s="45">
        <f>Arbejdsark!I137</f>
        <v>0</v>
      </c>
      <c r="F129" s="45">
        <f>Arbejdsark!J137</f>
        <v>0</v>
      </c>
      <c r="G129" s="45" t="e">
        <f>Arbejdsark!#REF!</f>
        <v>#REF!</v>
      </c>
      <c r="H129" s="45" t="e">
        <f>Arbejdsark!#REF!</f>
        <v>#REF!</v>
      </c>
      <c r="I129" s="45" t="str">
        <f>IF('Sortering af spørgsmål'!$C$25=Projektforudsætninger!$C$25,Arbejdsark!K439,"")</f>
        <v/>
      </c>
      <c r="J129" s="41" t="s">
        <v>9</v>
      </c>
      <c r="K129" s="41"/>
    </row>
    <row r="130" spans="1:11" ht="141.75" customHeight="1" x14ac:dyDescent="0.45">
      <c r="A130" s="45" t="str">
        <f>Arbejdsark!$A$424</f>
        <v>Renhold og vedligehold</v>
      </c>
      <c r="B130" s="43" t="str">
        <f>Arbejdsark!$B$444</f>
        <v>3.5</v>
      </c>
      <c r="C130" s="45" t="str">
        <f>IF('Sortering af spørgsmål'!$C$25=Projektforudsætninger!$C$25,Arbejdsark!C444,"")</f>
        <v/>
      </c>
      <c r="D130" s="46">
        <f>Arbejdsark!D138</f>
        <v>0</v>
      </c>
      <c r="E130" s="45">
        <f>Arbejdsark!I138</f>
        <v>0</v>
      </c>
      <c r="F130" s="45">
        <f>Arbejdsark!J138</f>
        <v>0</v>
      </c>
      <c r="G130" s="45" t="e">
        <f>Arbejdsark!#REF!</f>
        <v>#REF!</v>
      </c>
      <c r="H130" s="45" t="e">
        <f>Arbejdsark!#REF!</f>
        <v>#REF!</v>
      </c>
      <c r="I130" s="45" t="str">
        <f>IF('Sortering af spørgsmål'!$C$25=Projektforudsætninger!$C$25,Arbejdsark!K444,"")</f>
        <v/>
      </c>
      <c r="J130" s="41" t="s">
        <v>9</v>
      </c>
      <c r="K130" s="41"/>
    </row>
    <row r="131" spans="1:11" ht="98.25" customHeight="1" x14ac:dyDescent="0.45">
      <c r="A131" s="45" t="str">
        <f>Arbejdsark!$A$424</f>
        <v>Renhold og vedligehold</v>
      </c>
      <c r="B131" s="43" t="str">
        <f>Arbejdsark!$B$449</f>
        <v>3.6</v>
      </c>
      <c r="C131" s="45" t="str">
        <f>IF('Sortering af spørgsmål'!$C$25=Projektforudsætninger!$C$25,Arbejdsark!C449,"")</f>
        <v/>
      </c>
      <c r="D131" s="46" t="str">
        <f>Arbejdsark!D139</f>
        <v>ECO2.1 + TEC1.4
Vægtning: ECO2.1 pkt. 7.1, 7.2 og 7.3 + TEC1.4 pkt. 1.1, 1.2 og 1.3</v>
      </c>
      <c r="E131" s="45" t="str">
        <f>Arbejdsark!I139</f>
        <v>x</v>
      </c>
      <c r="F131" s="45">
        <f>Arbejdsark!J139</f>
        <v>0</v>
      </c>
      <c r="G131" s="45" t="e">
        <f>Arbejdsark!#REF!</f>
        <v>#REF!</v>
      </c>
      <c r="H131" s="45" t="e">
        <f>Arbejdsark!#REF!</f>
        <v>#REF!</v>
      </c>
      <c r="I131" s="45" t="str">
        <f>IF('Sortering af spørgsmål'!$C$25=Projektforudsætninger!$C$25,Arbejdsark!K449,"")</f>
        <v/>
      </c>
      <c r="J131" s="41" t="s">
        <v>9</v>
      </c>
      <c r="K131" s="41"/>
    </row>
    <row r="132" spans="1:11" x14ac:dyDescent="0.45">
      <c r="A132" s="323" t="str">
        <f>Arbejdsark!$A$455</f>
        <v>Idriftsættelse</v>
      </c>
      <c r="B132" s="313">
        <v>4</v>
      </c>
      <c r="C132" s="323"/>
      <c r="D132" s="323"/>
      <c r="E132" s="323"/>
      <c r="F132" s="323"/>
      <c r="G132" s="323"/>
      <c r="H132" s="323"/>
      <c r="I132" s="313" t="str">
        <f>IF('Sortering af spørgsmål'!$C$33=Projektforudsætninger!$C$25,"Udfyld spørgsmål","Ingen spørgsmål")</f>
        <v>Ingen spørgsmål</v>
      </c>
      <c r="J132" s="314"/>
      <c r="K132" s="314"/>
    </row>
    <row r="133" spans="1:11" ht="98.25" customHeight="1" x14ac:dyDescent="0.45">
      <c r="A133" s="45" t="str">
        <f>Arbejdsark!$A$455</f>
        <v>Idriftsættelse</v>
      </c>
      <c r="B133" s="327" t="str">
        <f>Arbejdsark!$B$455</f>
        <v>4.1</v>
      </c>
      <c r="C133" s="45" t="str">
        <f>IF('Sortering af spørgsmål'!$C$33=Projektforudsætninger!$C$25,Arbejdsark!C455,"")</f>
        <v/>
      </c>
      <c r="D133" s="46" t="str">
        <f>Arbejdsark!D167</f>
        <v>SOC1.1
Vægtning: SOC1.1 pkt. 1 + 4</v>
      </c>
      <c r="E133" s="45" t="str">
        <f>Arbejdsark!I167</f>
        <v>x</v>
      </c>
      <c r="F133" s="45">
        <f>Arbejdsark!J167</f>
        <v>0</v>
      </c>
      <c r="G133" s="45" t="e">
        <f>Arbejdsark!#REF!</f>
        <v>#REF!</v>
      </c>
      <c r="H133" s="45" t="e">
        <f>Arbejdsark!#REF!</f>
        <v>#REF!</v>
      </c>
      <c r="I133" s="45" t="str">
        <f>IF('Sortering af spørgsmål'!$C$33=Projektforudsætninger!$C$25,Arbejdsark!K455,"")</f>
        <v/>
      </c>
      <c r="J133" s="41" t="s">
        <v>9</v>
      </c>
      <c r="K133" s="41"/>
    </row>
    <row r="134" spans="1:11" x14ac:dyDescent="0.45">
      <c r="A134" s="45"/>
      <c r="B134" s="319"/>
      <c r="C134" s="45"/>
      <c r="D134" s="46"/>
      <c r="E134" s="45"/>
      <c r="F134" s="45"/>
      <c r="G134" s="45"/>
      <c r="H134" s="45"/>
      <c r="I134" s="45"/>
      <c r="J134" s="47"/>
      <c r="K134" s="47"/>
    </row>
    <row r="135" spans="1:11" ht="28.5" customHeight="1" x14ac:dyDescent="0.45">
      <c r="A135" s="62" t="str">
        <f>Arbejdsark!$A$460</f>
        <v>PROCES KVALITET</v>
      </c>
      <c r="B135" s="328"/>
      <c r="C135" s="62"/>
      <c r="D135" s="62"/>
      <c r="E135" s="62"/>
      <c r="F135" s="62"/>
      <c r="G135" s="62"/>
      <c r="H135" s="62"/>
      <c r="I135" s="63"/>
      <c r="J135" s="64"/>
      <c r="K135" s="64"/>
    </row>
    <row r="136" spans="1:11" ht="28.5" customHeight="1" x14ac:dyDescent="0.45">
      <c r="A136" s="58" t="str">
        <f>$A$4</f>
        <v>Tema</v>
      </c>
      <c r="B136" s="319" t="str">
        <f>B4</f>
        <v>ID</v>
      </c>
      <c r="C136" s="58" t="str">
        <f>$C$4</f>
        <v>Emne</v>
      </c>
      <c r="D136" s="58" t="str">
        <f>D4</f>
        <v>DGNB kriterium</v>
      </c>
      <c r="E136" s="58" t="str">
        <f>E4</f>
        <v>Byggeudvalg eller Hovedbestyrelse</v>
      </c>
      <c r="F136" s="58" t="str">
        <f>F4</f>
        <v>Projektleder</v>
      </c>
      <c r="G136" s="58" t="str">
        <f>G4</f>
        <v>#REFERENCE!</v>
      </c>
      <c r="H136" s="58" t="str">
        <f>H4</f>
        <v>Ikon</v>
      </c>
      <c r="I136" s="58" t="str">
        <f>$I$4</f>
        <v>Spørgsmål</v>
      </c>
      <c r="J136" s="59" t="str">
        <f>$J$4</f>
        <v>Svar</v>
      </c>
      <c r="K136" s="59" t="str">
        <f>$K$4</f>
        <v>Uddybende kommentarer</v>
      </c>
    </row>
    <row r="137" spans="1:11" ht="28.5" customHeight="1" x14ac:dyDescent="0.45">
      <c r="A137" s="62" t="str">
        <f>Arbejdsark!$A$462</f>
        <v>Byggeprogram</v>
      </c>
      <c r="B137" s="328">
        <v>1</v>
      </c>
      <c r="C137" s="62"/>
      <c r="D137" s="62"/>
      <c r="E137" s="62"/>
      <c r="F137" s="62"/>
      <c r="G137" s="62"/>
      <c r="H137" s="62"/>
      <c r="I137" s="63" t="str">
        <f>IF('Sortering af spørgsmål'!$C$26=Projektforudsætninger!$C$25,"Udfyld spørgsmål","Ingen spørgsmål")</f>
        <v>Ingen spørgsmål</v>
      </c>
      <c r="J137" s="64"/>
      <c r="K137" s="64"/>
    </row>
    <row r="138" spans="1:11" ht="113.65" customHeight="1" x14ac:dyDescent="0.45">
      <c r="A138" s="45" t="str">
        <f>Arbejdsark!$A$462</f>
        <v>Byggeprogram</v>
      </c>
      <c r="B138" s="327" t="str">
        <f>Arbejdsark!$B$462</f>
        <v>1.1</v>
      </c>
      <c r="C138" s="45" t="str">
        <f>IF('Sortering af spørgsmål'!$C$26=Projektforudsætninger!$C$25,Arbejdsark!C462,"")</f>
        <v/>
      </c>
      <c r="D138" s="46">
        <f>Arbejdsark!D145</f>
        <v>0</v>
      </c>
      <c r="E138" s="45">
        <f>Arbejdsark!I145</f>
        <v>0</v>
      </c>
      <c r="F138" s="45">
        <f>Arbejdsark!J145</f>
        <v>0</v>
      </c>
      <c r="G138" s="45" t="e">
        <f>Arbejdsark!#REF!</f>
        <v>#REF!</v>
      </c>
      <c r="H138" s="45" t="e">
        <f>Arbejdsark!#REF!</f>
        <v>#REF!</v>
      </c>
      <c r="I138" s="45" t="str">
        <f>IF('Sortering af spørgsmål'!$C$26=Projektforudsætninger!$C$25,Arbejdsark!K462,"")</f>
        <v/>
      </c>
      <c r="J138" s="41" t="s">
        <v>9</v>
      </c>
      <c r="K138" s="41"/>
    </row>
    <row r="139" spans="1:11" x14ac:dyDescent="0.45">
      <c r="A139" s="45"/>
      <c r="B139" s="319"/>
      <c r="C139" s="45"/>
      <c r="D139" s="46"/>
      <c r="E139" s="45"/>
      <c r="F139" s="45"/>
      <c r="G139" s="45"/>
      <c r="H139" s="45"/>
      <c r="I139" s="45"/>
      <c r="J139" s="47"/>
      <c r="K139" s="47"/>
    </row>
    <row r="140" spans="1:11" ht="28.5" customHeight="1" x14ac:dyDescent="0.45">
      <c r="A140" s="62" t="str">
        <f>Arbejdsark!$A$467</f>
        <v>Integreret designproces</v>
      </c>
      <c r="B140" s="328">
        <v>2</v>
      </c>
      <c r="C140" s="62"/>
      <c r="D140" s="62"/>
      <c r="E140" s="62"/>
      <c r="F140" s="62"/>
      <c r="G140" s="62"/>
      <c r="H140" s="62"/>
      <c r="I140" s="63" t="str">
        <f>IF('Sortering af spørgsmål'!$C$27=Projektforudsætninger!$C$25,"Udfyld spørgsmål","Ingen spørgsmål")</f>
        <v>Ingen spørgsmål</v>
      </c>
      <c r="J140" s="64"/>
      <c r="K140" s="64"/>
    </row>
    <row r="141" spans="1:11" ht="70.900000000000006" customHeight="1" x14ac:dyDescent="0.45">
      <c r="A141" s="45" t="str">
        <f>Arbejdsark!$A$467</f>
        <v>Integreret designproces</v>
      </c>
      <c r="B141" s="327" t="str">
        <f>Arbejdsark!$B$467</f>
        <v>2.1</v>
      </c>
      <c r="C141" s="45" t="str">
        <f>IF('Sortering af spørgsmål'!$C$27=Projektforudsætninger!$C$25,Arbejdsark!C467,"")</f>
        <v/>
      </c>
      <c r="D141" s="46">
        <f>Arbejdsark!D147</f>
        <v>0</v>
      </c>
      <c r="E141" s="45">
        <f>Arbejdsark!I147</f>
        <v>0</v>
      </c>
      <c r="F141" s="45">
        <f>Arbejdsark!J147</f>
        <v>0</v>
      </c>
      <c r="G141" s="45" t="e">
        <f>Arbejdsark!#REF!</f>
        <v>#REF!</v>
      </c>
      <c r="H141" s="45" t="e">
        <f>Arbejdsark!#REF!</f>
        <v>#REF!</v>
      </c>
      <c r="I141" s="45" t="str">
        <f>IF('Sortering af spørgsmål'!$C$27=Projektforudsætninger!$C$25,Arbejdsark!K467,"")</f>
        <v/>
      </c>
      <c r="J141" s="41" t="s">
        <v>9</v>
      </c>
      <c r="K141" s="41"/>
    </row>
    <row r="142" spans="1:11" ht="113.65" customHeight="1" x14ac:dyDescent="0.45">
      <c r="A142" s="45" t="str">
        <f>Arbejdsark!$A$467</f>
        <v>Integreret designproces</v>
      </c>
      <c r="B142" s="327" t="str">
        <f>Arbejdsark!$B$472</f>
        <v>2.2</v>
      </c>
      <c r="C142" s="45" t="str">
        <f>IF('Sortering af spørgsmål'!$C$27=Projektforudsætninger!$C$25,Arbejdsark!C472,"")</f>
        <v/>
      </c>
      <c r="D142" s="46">
        <f>Arbejdsark!D148</f>
        <v>0</v>
      </c>
      <c r="E142" s="45">
        <f>Arbejdsark!I148</f>
        <v>0</v>
      </c>
      <c r="F142" s="45">
        <f>Arbejdsark!J148</f>
        <v>0</v>
      </c>
      <c r="G142" s="45" t="e">
        <f>Arbejdsark!#REF!</f>
        <v>#REF!</v>
      </c>
      <c r="H142" s="45" t="e">
        <f>Arbejdsark!#REF!</f>
        <v>#REF!</v>
      </c>
      <c r="I142" s="45" t="str">
        <f>IF('Sortering af spørgsmål'!$C$27=Projektforudsætninger!$C$25,Arbejdsark!K472,"")</f>
        <v/>
      </c>
      <c r="J142" s="41" t="s">
        <v>9</v>
      </c>
      <c r="K142" s="41"/>
    </row>
    <row r="143" spans="1:11" ht="85.15" customHeight="1" x14ac:dyDescent="0.45">
      <c r="A143" s="45" t="str">
        <f>Arbejdsark!$A$467</f>
        <v>Integreret designproces</v>
      </c>
      <c r="B143" s="327" t="str">
        <f>Arbejdsark!$B$477</f>
        <v>2.3</v>
      </c>
      <c r="C143" s="45" t="str">
        <f>IF('Sortering af spørgsmål'!$C$27=Projektforudsætninger!$C$25,Arbejdsark!C477,"")</f>
        <v/>
      </c>
      <c r="D143" s="46" t="str">
        <f>Arbejdsark!D149</f>
        <v>ECO2.1
Vægtning: 25 % af ECO2.1 pkt. 6</v>
      </c>
      <c r="E143" s="45" t="str">
        <f>Arbejdsark!I149</f>
        <v>x</v>
      </c>
      <c r="F143" s="45">
        <f>Arbejdsark!J149</f>
        <v>0</v>
      </c>
      <c r="G143" s="45" t="e">
        <f>Arbejdsark!#REF!</f>
        <v>#REF!</v>
      </c>
      <c r="H143" s="45" t="e">
        <f>Arbejdsark!#REF!</f>
        <v>#REF!</v>
      </c>
      <c r="I143" s="45" t="str">
        <f>IF('Sortering af spørgsmål'!$C$27=Projektforudsætninger!$C$25,Arbejdsark!K477,"")</f>
        <v/>
      </c>
      <c r="J143" s="41" t="s">
        <v>9</v>
      </c>
      <c r="K143" s="41"/>
    </row>
    <row r="144" spans="1:11" ht="85.15" customHeight="1" x14ac:dyDescent="0.45">
      <c r="A144" s="45" t="str">
        <f>Arbejdsark!$A$467</f>
        <v>Integreret designproces</v>
      </c>
      <c r="B144" s="327" t="str">
        <f>Arbejdsark!$B$482</f>
        <v>2.4</v>
      </c>
      <c r="C144" s="45" t="str">
        <f>IF('Sortering af spørgsmål'!$C$27=Projektforudsætninger!$C$25,Arbejdsark!C482,"")</f>
        <v/>
      </c>
      <c r="D144" s="46">
        <f>Arbejdsark!D150</f>
        <v>0</v>
      </c>
      <c r="E144" s="45">
        <f>Arbejdsark!I150</f>
        <v>0</v>
      </c>
      <c r="F144" s="45">
        <f>Arbejdsark!J150</f>
        <v>0</v>
      </c>
      <c r="G144" s="45" t="e">
        <f>Arbejdsark!#REF!</f>
        <v>#REF!</v>
      </c>
      <c r="H144" s="45" t="e">
        <f>Arbejdsark!#REF!</f>
        <v>#REF!</v>
      </c>
      <c r="I144" s="45" t="str">
        <f>IF('Sortering af spørgsmål'!$C$27=Projektforudsætninger!$C$25,Arbejdsark!K482,"")</f>
        <v/>
      </c>
      <c r="J144" s="41" t="s">
        <v>9</v>
      </c>
      <c r="K144" s="41"/>
    </row>
    <row r="145" spans="1:11" ht="85.15" customHeight="1" x14ac:dyDescent="0.45">
      <c r="A145" s="45" t="str">
        <f>Arbejdsark!$A$467</f>
        <v>Integreret designproces</v>
      </c>
      <c r="B145" s="327" t="str">
        <f>Arbejdsark!$B$487</f>
        <v>2.5</v>
      </c>
      <c r="C145" s="45" t="str">
        <f>IF('Sortering af spørgsmål'!$C$27=Projektforudsætninger!$C$25,Arbejdsark!C487,"")</f>
        <v/>
      </c>
      <c r="D145" s="46">
        <f>Arbejdsark!D151</f>
        <v>0</v>
      </c>
      <c r="E145" s="45">
        <f>Arbejdsark!I151</f>
        <v>0</v>
      </c>
      <c r="F145" s="45">
        <f>Arbejdsark!J151</f>
        <v>0</v>
      </c>
      <c r="G145" s="45" t="e">
        <f>Arbejdsark!#REF!</f>
        <v>#REF!</v>
      </c>
      <c r="H145" s="45" t="e">
        <f>Arbejdsark!#REF!</f>
        <v>#REF!</v>
      </c>
      <c r="I145" s="45" t="str">
        <f>IF('Sortering af spørgsmål'!$C$27=Projektforudsætninger!$C$25,Arbejdsark!K487,"")</f>
        <v/>
      </c>
      <c r="J145" s="41" t="s">
        <v>9</v>
      </c>
      <c r="K145" s="41"/>
    </row>
    <row r="146" spans="1:11" x14ac:dyDescent="0.45">
      <c r="A146" s="45"/>
      <c r="B146" s="319"/>
      <c r="C146" s="45"/>
      <c r="D146" s="46"/>
      <c r="E146" s="45"/>
      <c r="F146" s="45"/>
      <c r="G146" s="45"/>
      <c r="H146" s="45"/>
      <c r="I146" s="45"/>
      <c r="J146" s="47"/>
      <c r="K146" s="47"/>
    </row>
    <row r="147" spans="1:11" ht="28.5" customHeight="1" x14ac:dyDescent="0.45">
      <c r="A147" s="62" t="str">
        <f>Arbejdsark!$A$492</f>
        <v>Koncepter</v>
      </c>
      <c r="B147" s="328">
        <v>3</v>
      </c>
      <c r="C147" s="62"/>
      <c r="D147" s="62"/>
      <c r="E147" s="62"/>
      <c r="F147" s="62"/>
      <c r="G147" s="62"/>
      <c r="H147" s="62"/>
      <c r="I147" s="63" t="str">
        <f>IF('Sortering af spørgsmål'!$C$28=Projektforudsætninger!$C$25,"Udfyld spørgsmål","Ingen spørgsmål")</f>
        <v>Ingen spørgsmål</v>
      </c>
      <c r="J147" s="64"/>
      <c r="K147" s="64"/>
    </row>
    <row r="148" spans="1:11" ht="170.25" customHeight="1" x14ac:dyDescent="0.45">
      <c r="A148" s="45" t="str">
        <f>Arbejdsark!$A$492</f>
        <v>Koncepter</v>
      </c>
      <c r="B148" s="327" t="str">
        <f>Arbejdsark!$B$492</f>
        <v>3.1</v>
      </c>
      <c r="C148" s="45" t="str">
        <f>IF('Sortering af spørgsmål'!$C$28=Projektforudsætninger!$C$25,Arbejdsark!C492,"")</f>
        <v/>
      </c>
      <c r="D148" s="46">
        <f>Arbejdsark!D152</f>
        <v>0</v>
      </c>
      <c r="E148" s="45">
        <f>Arbejdsark!I152</f>
        <v>0</v>
      </c>
      <c r="F148" s="45">
        <f>Arbejdsark!J152</f>
        <v>0</v>
      </c>
      <c r="G148" s="45" t="e">
        <f>Arbejdsark!#REF!</f>
        <v>#REF!</v>
      </c>
      <c r="H148" s="45" t="e">
        <f>Arbejdsark!#REF!</f>
        <v>#REF!</v>
      </c>
      <c r="I148" s="45" t="str">
        <f>IF('Sortering af spørgsmål'!$C$28=Projektforudsætninger!$C$25,Arbejdsark!K492,"")</f>
        <v/>
      </c>
      <c r="J148" s="41" t="s">
        <v>9</v>
      </c>
      <c r="K148" s="41"/>
    </row>
    <row r="149" spans="1:11" x14ac:dyDescent="0.45">
      <c r="A149" s="45"/>
      <c r="B149" s="319"/>
      <c r="C149" s="45"/>
      <c r="D149" s="46"/>
      <c r="E149" s="45"/>
      <c r="F149" s="45"/>
      <c r="G149" s="45"/>
      <c r="H149" s="45"/>
      <c r="I149" s="45"/>
      <c r="J149" s="47"/>
      <c r="K149" s="47"/>
    </row>
    <row r="150" spans="1:11" ht="28.5" customHeight="1" x14ac:dyDescent="0.45">
      <c r="A150" s="62" t="str">
        <f>Arbejdsark!$A$497</f>
        <v>Entrepriseudbud</v>
      </c>
      <c r="B150" s="328">
        <v>4</v>
      </c>
      <c r="C150" s="62"/>
      <c r="D150" s="62"/>
      <c r="E150" s="62"/>
      <c r="F150" s="62"/>
      <c r="G150" s="62"/>
      <c r="H150" s="62"/>
      <c r="I150" s="63" t="str">
        <f>IF('Sortering af spørgsmål'!$C$29=Projektforudsætninger!$C$25,"Udfyld spørgsmål","Ingen spørgsmål")</f>
        <v>Ingen spørgsmål</v>
      </c>
      <c r="J150" s="64"/>
      <c r="K150" s="64"/>
    </row>
    <row r="151" spans="1:11" ht="85.15" customHeight="1" x14ac:dyDescent="0.45">
      <c r="A151" s="45" t="str">
        <f>Arbejdsark!$A$497</f>
        <v>Entrepriseudbud</v>
      </c>
      <c r="B151" s="327" t="str">
        <f>Arbejdsark!$B$497</f>
        <v>4.1</v>
      </c>
      <c r="C151" s="45" t="str">
        <f>IF('Sortering af spørgsmål'!$C$29=Projektforudsætninger!$C$25,Arbejdsark!C497,"")</f>
        <v/>
      </c>
      <c r="D151" s="46">
        <f>Arbejdsark!D157</f>
        <v>0</v>
      </c>
      <c r="E151" s="45">
        <f>Arbejdsark!I157</f>
        <v>0</v>
      </c>
      <c r="F151" s="45">
        <f>Arbejdsark!J157</f>
        <v>0</v>
      </c>
      <c r="G151" s="45" t="e">
        <f>Arbejdsark!#REF!</f>
        <v>#REF!</v>
      </c>
      <c r="H151" s="45" t="e">
        <f>Arbejdsark!#REF!</f>
        <v>#REF!</v>
      </c>
      <c r="I151" s="45" t="str">
        <f>IF('Sortering af spørgsmål'!$C$29=Projektforudsætninger!$C$25,Arbejdsark!K497,"")</f>
        <v/>
      </c>
      <c r="J151" s="41" t="s">
        <v>9</v>
      </c>
      <c r="K151" s="41"/>
    </row>
    <row r="152" spans="1:11" x14ac:dyDescent="0.45">
      <c r="A152" s="45"/>
      <c r="B152" s="319"/>
      <c r="C152" s="45"/>
      <c r="D152" s="46"/>
      <c r="E152" s="45"/>
      <c r="F152" s="45"/>
      <c r="G152" s="45"/>
      <c r="H152" s="45"/>
      <c r="I152" s="45"/>
      <c r="J152" s="47"/>
      <c r="K152" s="47"/>
    </row>
    <row r="153" spans="1:11" ht="28.5" x14ac:dyDescent="0.45">
      <c r="A153" s="62" t="str">
        <f>Arbejdsark!$A$502</f>
        <v>Kvalitet af aflevering til driftspersonale</v>
      </c>
      <c r="B153" s="328">
        <v>5</v>
      </c>
      <c r="C153" s="62"/>
      <c r="D153" s="62"/>
      <c r="E153" s="62"/>
      <c r="F153" s="62"/>
      <c r="G153" s="62"/>
      <c r="H153" s="62"/>
      <c r="I153" s="63" t="str">
        <f>IF('Sortering af spørgsmål'!$C$30=Projektforudsætninger!$C$25,"Udfyld spørgsmål","Ingen spørgsmål")</f>
        <v>Ingen spørgsmål</v>
      </c>
      <c r="J153" s="64"/>
      <c r="K153" s="64"/>
    </row>
    <row r="154" spans="1:11" ht="113.65" customHeight="1" x14ac:dyDescent="0.45">
      <c r="A154" s="45" t="str">
        <f>Arbejdsark!$A$502</f>
        <v>Kvalitet af aflevering til driftspersonale</v>
      </c>
      <c r="B154" s="327" t="str">
        <f>Arbejdsark!$B$502</f>
        <v>5.1</v>
      </c>
      <c r="C154" s="45" t="str">
        <f>IF('Sortering af spørgsmål'!$C$30=Projektforudsætninger!$C$25,Arbejdsark!C502,"")</f>
        <v/>
      </c>
      <c r="D154" s="46">
        <f>Arbejdsark!D160</f>
        <v>0</v>
      </c>
      <c r="E154" s="45">
        <f>Arbejdsark!I160</f>
        <v>0</v>
      </c>
      <c r="F154" s="45">
        <f>Arbejdsark!J160</f>
        <v>0</v>
      </c>
      <c r="G154" s="45" t="e">
        <f>Arbejdsark!#REF!</f>
        <v>#REF!</v>
      </c>
      <c r="H154" s="45" t="e">
        <f>Arbejdsark!#REF!</f>
        <v>#REF!</v>
      </c>
      <c r="I154" s="45" t="str">
        <f>IF('Sortering af spørgsmål'!$C$30=Projektforudsætninger!$C$25,Arbejdsark!K502,"")</f>
        <v/>
      </c>
      <c r="J154" s="41" t="s">
        <v>9</v>
      </c>
      <c r="K154" s="41"/>
    </row>
    <row r="155" spans="1:11" ht="113.65" customHeight="1" x14ac:dyDescent="0.45">
      <c r="A155" s="45" t="str">
        <f>Arbejdsark!$A$502</f>
        <v>Kvalitet af aflevering til driftspersonale</v>
      </c>
      <c r="B155" s="327" t="str">
        <f>Arbejdsark!$B$507</f>
        <v>5.2</v>
      </c>
      <c r="C155" s="45" t="str">
        <f>IF('Sortering af spørgsmål'!$C$30=Projektforudsætninger!$C$25,Arbejdsark!C507,"")</f>
        <v/>
      </c>
      <c r="D155" s="46">
        <f>Arbejdsark!D161</f>
        <v>0</v>
      </c>
      <c r="E155" s="45">
        <f>Arbejdsark!I161</f>
        <v>0</v>
      </c>
      <c r="F155" s="45">
        <f>Arbejdsark!J161</f>
        <v>0</v>
      </c>
      <c r="G155" s="45" t="e">
        <f>Arbejdsark!#REF!</f>
        <v>#REF!</v>
      </c>
      <c r="H155" s="45" t="e">
        <f>Arbejdsark!#REF!</f>
        <v>#REF!</v>
      </c>
      <c r="I155" s="45" t="str">
        <f>IF('Sortering af spørgsmål'!$C$30=Projektforudsætninger!$C$25,Arbejdsark!K507,"")</f>
        <v/>
      </c>
      <c r="J155" s="41" t="s">
        <v>9</v>
      </c>
      <c r="K155" s="41"/>
    </row>
    <row r="156" spans="1:11" ht="113.65" customHeight="1" x14ac:dyDescent="0.45">
      <c r="A156" s="45" t="str">
        <f>Arbejdsark!$A$502</f>
        <v>Kvalitet af aflevering til driftspersonale</v>
      </c>
      <c r="B156" s="327" t="str">
        <f>Arbejdsark!$B$512</f>
        <v>5.3</v>
      </c>
      <c r="C156" s="45" t="str">
        <f>IF('Sortering af spørgsmål'!$C$30=Projektforudsætninger!$C$25,Arbejdsark!C512,"")</f>
        <v/>
      </c>
      <c r="D156" s="46">
        <f>Arbejdsark!D162</f>
        <v>0</v>
      </c>
      <c r="E156" s="45">
        <f>Arbejdsark!I162</f>
        <v>0</v>
      </c>
      <c r="F156" s="45">
        <f>Arbejdsark!J162</f>
        <v>0</v>
      </c>
      <c r="G156" s="45" t="e">
        <f>Arbejdsark!#REF!</f>
        <v>#REF!</v>
      </c>
      <c r="H156" s="45" t="e">
        <f>Arbejdsark!#REF!</f>
        <v>#REF!</v>
      </c>
      <c r="I156" s="45" t="str">
        <f>IF('Sortering af spørgsmål'!$C$30=Projektforudsætninger!$C$25,Arbejdsark!K512,"")</f>
        <v/>
      </c>
      <c r="J156" s="41" t="s">
        <v>9</v>
      </c>
      <c r="K156" s="41"/>
    </row>
    <row r="157" spans="1:11" x14ac:dyDescent="0.45">
      <c r="A157" s="45"/>
      <c r="B157" s="319"/>
      <c r="C157" s="45"/>
      <c r="D157" s="46"/>
      <c r="E157" s="45"/>
      <c r="F157" s="45"/>
      <c r="G157" s="45"/>
      <c r="H157" s="45"/>
      <c r="I157" s="45"/>
      <c r="J157" s="47"/>
      <c r="K157" s="47"/>
    </row>
    <row r="158" spans="1:11" ht="28.5" customHeight="1" x14ac:dyDescent="0.45">
      <c r="A158" s="62" t="str">
        <f>Arbejdsark!$A$517</f>
        <v>Byggeplads</v>
      </c>
      <c r="B158" s="328">
        <v>6</v>
      </c>
      <c r="C158" s="62"/>
      <c r="D158" s="62"/>
      <c r="E158" s="62"/>
      <c r="F158" s="62"/>
      <c r="G158" s="62"/>
      <c r="H158" s="62"/>
      <c r="I158" s="63" t="str">
        <f>IF('Sortering af spørgsmål'!$C$31=Projektforudsætninger!$C$25,"Udfyld spørgsmål","Ingen spørgsmål")</f>
        <v>Ingen spørgsmål</v>
      </c>
      <c r="J158" s="64"/>
      <c r="K158" s="64"/>
    </row>
    <row r="159" spans="1:11" ht="141.75" customHeight="1" x14ac:dyDescent="0.45">
      <c r="A159" s="45" t="str">
        <f>Arbejdsark!$A$517</f>
        <v>Byggeplads</v>
      </c>
      <c r="B159" s="327" t="str">
        <f>Arbejdsark!$B$517</f>
        <v>6.1</v>
      </c>
      <c r="C159" s="45" t="str">
        <f>IF('Sortering af spørgsmål'!$C$31=Projektforudsætninger!$C$25,Arbejdsark!C517,"")</f>
        <v/>
      </c>
      <c r="D159" s="46">
        <f>Arbejdsark!D163</f>
        <v>0</v>
      </c>
      <c r="E159" s="45">
        <f>Arbejdsark!I163</f>
        <v>0</v>
      </c>
      <c r="F159" s="45">
        <f>Arbejdsark!J163</f>
        <v>0</v>
      </c>
      <c r="G159" s="45" t="e">
        <f>Arbejdsark!#REF!</f>
        <v>#REF!</v>
      </c>
      <c r="H159" s="45" t="e">
        <f>Arbejdsark!#REF!</f>
        <v>#REF!</v>
      </c>
      <c r="I159" s="45" t="str">
        <f>IF('Sortering af spørgsmål'!$C$31=Projektforudsætninger!$C$25,Arbejdsark!K517,"")</f>
        <v/>
      </c>
      <c r="J159" s="41" t="s">
        <v>9</v>
      </c>
      <c r="K159" s="41"/>
    </row>
    <row r="160" spans="1:11" ht="141.75" customHeight="1" x14ac:dyDescent="0.45">
      <c r="A160" s="45" t="str">
        <f>Arbejdsark!$A$517</f>
        <v>Byggeplads</v>
      </c>
      <c r="B160" s="327" t="str">
        <f>Arbejdsark!$B$522</f>
        <v>6.2</v>
      </c>
      <c r="C160" s="45" t="str">
        <f>IF('Sortering af spørgsmål'!$C$31=Projektforudsætninger!$C$25,Arbejdsark!C522,"")</f>
        <v/>
      </c>
      <c r="D160" s="46" t="e">
        <f>Arbejdsark!#REF!</f>
        <v>#REF!</v>
      </c>
      <c r="E160" s="45" t="e">
        <f>Arbejdsark!#REF!</f>
        <v>#REF!</v>
      </c>
      <c r="F160" s="45" t="e">
        <f>Arbejdsark!#REF!</f>
        <v>#REF!</v>
      </c>
      <c r="G160" s="45" t="e">
        <f>Arbejdsark!#REF!</f>
        <v>#REF!</v>
      </c>
      <c r="H160" s="45" t="e">
        <f>Arbejdsark!#REF!</f>
        <v>#REF!</v>
      </c>
      <c r="I160" s="45" t="str">
        <f>IF('Sortering af spørgsmål'!$C$31=Projektforudsætninger!$C$25,Arbejdsark!K522,"")</f>
        <v/>
      </c>
      <c r="J160" s="41" t="s">
        <v>9</v>
      </c>
      <c r="K160" s="41"/>
    </row>
    <row r="161" spans="1:11" ht="141.75" customHeight="1" x14ac:dyDescent="0.45">
      <c r="A161" s="45" t="str">
        <f>Arbejdsark!$A$517</f>
        <v>Byggeplads</v>
      </c>
      <c r="B161" s="327" t="str">
        <f>Arbejdsark!$B$527</f>
        <v>6.3</v>
      </c>
      <c r="C161" s="45" t="str">
        <f>IF('Sortering af spørgsmål'!$C$31=Projektforudsætninger!$C$25,Arbejdsark!C527,"")</f>
        <v/>
      </c>
      <c r="D161" s="46" t="e">
        <f>Arbejdsark!#REF!</f>
        <v>#REF!</v>
      </c>
      <c r="E161" s="45" t="e">
        <f>Arbejdsark!#REF!</f>
        <v>#REF!</v>
      </c>
      <c r="F161" s="45" t="e">
        <f>Arbejdsark!#REF!</f>
        <v>#REF!</v>
      </c>
      <c r="G161" s="45" t="e">
        <f>Arbejdsark!#REF!</f>
        <v>#REF!</v>
      </c>
      <c r="H161" s="45" t="e">
        <f>Arbejdsark!#REF!</f>
        <v>#REF!</v>
      </c>
      <c r="I161" s="45" t="str">
        <f>IF('Sortering af spørgsmål'!$C$31=Projektforudsætninger!$C$25,Arbejdsark!K527,"")</f>
        <v/>
      </c>
      <c r="J161" s="41" t="s">
        <v>9</v>
      </c>
      <c r="K161" s="41"/>
    </row>
    <row r="162" spans="1:11" ht="113.65" customHeight="1" x14ac:dyDescent="0.45">
      <c r="A162" s="45" t="str">
        <f>Arbejdsark!$A$517</f>
        <v>Byggeplads</v>
      </c>
      <c r="B162" s="327" t="str">
        <f>Arbejdsark!$B$532</f>
        <v>6.4</v>
      </c>
      <c r="C162" s="45" t="str">
        <f>IF('Sortering af spørgsmål'!$C$31=Projektforudsætninger!$C$25,Arbejdsark!C532,"")</f>
        <v/>
      </c>
      <c r="D162" s="46" t="e">
        <f>Arbejdsark!#REF!</f>
        <v>#REF!</v>
      </c>
      <c r="E162" s="45" t="e">
        <f>Arbejdsark!#REF!</f>
        <v>#REF!</v>
      </c>
      <c r="F162" s="45" t="e">
        <f>Arbejdsark!#REF!</f>
        <v>#REF!</v>
      </c>
      <c r="G162" s="45" t="e">
        <f>Arbejdsark!#REF!</f>
        <v>#REF!</v>
      </c>
      <c r="H162" s="45" t="e">
        <f>Arbejdsark!#REF!</f>
        <v>#REF!</v>
      </c>
      <c r="I162" s="45" t="str">
        <f>IF('Sortering af spørgsmål'!$C$31=Projektforudsætninger!$C$25,Arbejdsark!K532,"")</f>
        <v/>
      </c>
      <c r="J162" s="41" t="s">
        <v>9</v>
      </c>
      <c r="K162" s="41"/>
    </row>
    <row r="163" spans="1:11" ht="113.65" customHeight="1" x14ac:dyDescent="0.45">
      <c r="A163" s="45" t="str">
        <f>Arbejdsark!$A$517</f>
        <v>Byggeplads</v>
      </c>
      <c r="B163" s="327" t="str">
        <f>Arbejdsark!$B$537</f>
        <v>6.5</v>
      </c>
      <c r="C163" s="45" t="str">
        <f>IF('Sortering af spørgsmål'!$C$31=Projektforudsætninger!$C$25,Arbejdsark!C537,"")</f>
        <v/>
      </c>
      <c r="D163" s="46" t="e">
        <f>Arbejdsark!#REF!</f>
        <v>#REF!</v>
      </c>
      <c r="E163" s="45" t="e">
        <f>Arbejdsark!#REF!</f>
        <v>#REF!</v>
      </c>
      <c r="F163" s="45" t="e">
        <f>Arbejdsark!#REF!</f>
        <v>#REF!</v>
      </c>
      <c r="G163" s="45" t="e">
        <f>Arbejdsark!#REF!</f>
        <v>#REF!</v>
      </c>
      <c r="H163" s="45" t="e">
        <f>Arbejdsark!#REF!</f>
        <v>#REF!</v>
      </c>
      <c r="I163" s="45" t="str">
        <f>IF('Sortering af spørgsmål'!$C$31=Projektforudsætninger!$C$25,Arbejdsark!K537,"")</f>
        <v/>
      </c>
      <c r="J163" s="41" t="s">
        <v>9</v>
      </c>
      <c r="K163" s="41"/>
    </row>
    <row r="164" spans="1:11" ht="113.65" customHeight="1" x14ac:dyDescent="0.45">
      <c r="A164" s="45" t="str">
        <f>Arbejdsark!$A$517</f>
        <v>Byggeplads</v>
      </c>
      <c r="B164" s="327" t="str">
        <f>Arbejdsark!$B$542</f>
        <v>6.6</v>
      </c>
      <c r="C164" s="45" t="str">
        <f>IF('Sortering af spørgsmål'!$C$31=Projektforudsætninger!$C$25,Arbejdsark!C542,"")</f>
        <v/>
      </c>
      <c r="D164" s="46" t="e">
        <f>Arbejdsark!#REF!</f>
        <v>#REF!</v>
      </c>
      <c r="E164" s="45" t="e">
        <f>Arbejdsark!#REF!</f>
        <v>#REF!</v>
      </c>
      <c r="F164" s="45" t="e">
        <f>Arbejdsark!#REF!</f>
        <v>#REF!</v>
      </c>
      <c r="G164" s="45" t="e">
        <f>Arbejdsark!#REF!</f>
        <v>#REF!</v>
      </c>
      <c r="H164" s="45" t="e">
        <f>Arbejdsark!#REF!</f>
        <v>#REF!</v>
      </c>
      <c r="I164" s="45" t="str">
        <f>IF('Sortering af spørgsmål'!$C$31=Projektforudsætninger!$C$25,Arbejdsark!K542,"")</f>
        <v/>
      </c>
      <c r="J164" s="41" t="s">
        <v>9</v>
      </c>
      <c r="K164" s="41"/>
    </row>
    <row r="165" spans="1:11" x14ac:dyDescent="0.45">
      <c r="A165" s="45"/>
      <c r="B165" s="319"/>
      <c r="C165" s="45"/>
      <c r="D165" s="46"/>
      <c r="E165" s="45"/>
      <c r="F165" s="45"/>
      <c r="G165" s="45"/>
      <c r="H165" s="45"/>
      <c r="I165" s="45"/>
      <c r="J165" s="47"/>
      <c r="K165" s="47"/>
    </row>
    <row r="166" spans="1:11" ht="42.6" customHeight="1" x14ac:dyDescent="0.45">
      <c r="A166" s="62" t="str">
        <f>Arbejdsark!$A$548</f>
        <v>Eftervisende dokumentation</v>
      </c>
      <c r="B166" s="328">
        <v>7</v>
      </c>
      <c r="C166" s="62"/>
      <c r="D166" s="62"/>
      <c r="E166" s="62"/>
      <c r="F166" s="62"/>
      <c r="G166" s="62"/>
      <c r="H166" s="62"/>
      <c r="I166" s="63" t="str">
        <f>IF('Sortering af spørgsmål'!$C$32=Projektforudsætninger!$C$25,"Udfyld spørgsmål","Ingen spørgsmål")</f>
        <v>Ingen spørgsmål</v>
      </c>
      <c r="J166" s="64"/>
      <c r="K166" s="64"/>
    </row>
    <row r="167" spans="1:11" ht="113.65" customHeight="1" x14ac:dyDescent="0.45">
      <c r="A167" s="45" t="str">
        <f>Arbejdsark!$A$548</f>
        <v>Eftervisende dokumentation</v>
      </c>
      <c r="B167" s="327" t="str">
        <f>Arbejdsark!$B$548</f>
        <v>7.1</v>
      </c>
      <c r="C167" s="45" t="str">
        <f>IF('Sortering af spørgsmål'!$C$32=Projektforudsætninger!$C$25,Arbejdsark!C548,"")</f>
        <v/>
      </c>
      <c r="D167" s="46" t="e">
        <f>Arbejdsark!#REF!</f>
        <v>#REF!</v>
      </c>
      <c r="E167" s="45" t="e">
        <f>Arbejdsark!#REF!</f>
        <v>#REF!</v>
      </c>
      <c r="F167" s="45" t="e">
        <f>Arbejdsark!#REF!</f>
        <v>#REF!</v>
      </c>
      <c r="G167" s="45" t="e">
        <f>Arbejdsark!#REF!</f>
        <v>#REF!</v>
      </c>
      <c r="H167" s="45" t="e">
        <f>Arbejdsark!#REF!</f>
        <v>#REF!</v>
      </c>
      <c r="I167" s="45" t="str">
        <f>IF('Sortering af spørgsmål'!$C$32=Projektforudsætninger!$C$25,Arbejdsark!K548,"")</f>
        <v/>
      </c>
      <c r="J167" s="41" t="s">
        <v>9</v>
      </c>
      <c r="K167" s="41"/>
    </row>
    <row r="168" spans="1:11" ht="113.65" customHeight="1" x14ac:dyDescent="0.45">
      <c r="A168" s="45" t="str">
        <f>Arbejdsark!$A$548</f>
        <v>Eftervisende dokumentation</v>
      </c>
      <c r="B168" s="327" t="str">
        <f>Arbejdsark!$B$553</f>
        <v>7.2</v>
      </c>
      <c r="C168" s="45" t="str">
        <f>IF('Sortering af spørgsmål'!$C$32=Projektforudsætninger!$C$25,Arbejdsark!C553,"")</f>
        <v/>
      </c>
      <c r="D168" s="46" t="e">
        <f>Arbejdsark!#REF!</f>
        <v>#REF!</v>
      </c>
      <c r="E168" s="45" t="e">
        <f>Arbejdsark!#REF!</f>
        <v>#REF!</v>
      </c>
      <c r="F168" s="45" t="e">
        <f>Arbejdsark!#REF!</f>
        <v>#REF!</v>
      </c>
      <c r="G168" s="45" t="e">
        <f>Arbejdsark!#REF!</f>
        <v>#REF!</v>
      </c>
      <c r="H168" s="45" t="e">
        <f>Arbejdsark!#REF!</f>
        <v>#REF!</v>
      </c>
      <c r="I168" s="45" t="str">
        <f>IF('Sortering af spørgsmål'!$C$32=Projektforudsætninger!$C$25,Arbejdsark!K553,"")</f>
        <v/>
      </c>
      <c r="J168" s="41" t="s">
        <v>9</v>
      </c>
      <c r="K168" s="41"/>
    </row>
    <row r="169" spans="1:11" ht="113.65" customHeight="1" x14ac:dyDescent="0.45">
      <c r="A169" s="45" t="str">
        <f>Arbejdsark!$A$548</f>
        <v>Eftervisende dokumentation</v>
      </c>
      <c r="B169" s="327" t="str">
        <f>Arbejdsark!$B$558</f>
        <v>7.3</v>
      </c>
      <c r="C169" s="45" t="str">
        <f>IF('Sortering af spørgsmål'!$C$32=Projektforudsætninger!$C$25,Arbejdsark!C558,"")</f>
        <v/>
      </c>
      <c r="D169" s="46" t="e">
        <f>Arbejdsark!#REF!</f>
        <v>#REF!</v>
      </c>
      <c r="E169" s="45" t="e">
        <f>Arbejdsark!#REF!</f>
        <v>#REF!</v>
      </c>
      <c r="F169" s="45" t="e">
        <f>Arbejdsark!#REF!</f>
        <v>#REF!</v>
      </c>
      <c r="G169" s="45" t="e">
        <f>Arbejdsark!#REF!</f>
        <v>#REF!</v>
      </c>
      <c r="H169" s="45" t="e">
        <f>Arbejdsark!#REF!</f>
        <v>#REF!</v>
      </c>
      <c r="I169" s="45" t="str">
        <f>IF('Sortering af spørgsmål'!$C$32=Projektforudsætninger!$C$25,Arbejdsark!K558,"")</f>
        <v/>
      </c>
      <c r="J169" s="41" t="s">
        <v>9</v>
      </c>
      <c r="K169" s="41"/>
    </row>
    <row r="170" spans="1:11" ht="170.25" customHeight="1" x14ac:dyDescent="0.45">
      <c r="A170" s="45" t="str">
        <f>Arbejdsark!$A$548</f>
        <v>Eftervisende dokumentation</v>
      </c>
      <c r="B170" s="327" t="str">
        <f>Arbejdsark!$B$563</f>
        <v>7.4</v>
      </c>
      <c r="C170" s="45" t="str">
        <f>IF('Sortering af spørgsmål'!$C$32=Projektforudsætninger!$C$25,Arbejdsark!C563,"")</f>
        <v/>
      </c>
      <c r="D170" s="46" t="e">
        <f>Arbejdsark!#REF!</f>
        <v>#REF!</v>
      </c>
      <c r="E170" s="45" t="e">
        <f>Arbejdsark!#REF!</f>
        <v>#REF!</v>
      </c>
      <c r="F170" s="45" t="e">
        <f>Arbejdsark!#REF!</f>
        <v>#REF!</v>
      </c>
      <c r="G170" s="45" t="e">
        <f>Arbejdsark!#REF!</f>
        <v>#REF!</v>
      </c>
      <c r="H170" s="45" t="e">
        <f>Arbejdsark!#REF!</f>
        <v>#REF!</v>
      </c>
      <c r="I170" s="45" t="str">
        <f>IF('Sortering af spørgsmål'!$C$32=Projektforudsætninger!$C$25,Arbejdsark!K563,"")</f>
        <v/>
      </c>
      <c r="J170" s="41" t="s">
        <v>9</v>
      </c>
      <c r="K170" s="41"/>
    </row>
    <row r="171" spans="1:11" x14ac:dyDescent="0.45">
      <c r="A171" s="45" t="str">
        <f>Arbejdsark!$A$548</f>
        <v>Eftervisende dokumentation</v>
      </c>
      <c r="B171" s="327" t="str">
        <f>Arbejdsark!$B$572</f>
        <v>7.5</v>
      </c>
      <c r="C171" s="45" t="str">
        <f>IF('Sortering af spørgsmål'!$C$32=Projektforudsætninger!$C$25,Arbejdsark!$C$572,"")</f>
        <v/>
      </c>
      <c r="D171" s="46"/>
      <c r="E171" s="45"/>
      <c r="F171" s="45"/>
      <c r="G171" s="45"/>
      <c r="H171" s="45"/>
      <c r="I171" s="45" t="str">
        <f>IF('Sortering af spørgsmål'!$C$32=Projektforudsætninger!$C$25,Arbejdsark!$K$572,"")</f>
        <v/>
      </c>
      <c r="J171" s="37" t="s">
        <v>9</v>
      </c>
      <c r="K171" s="41"/>
    </row>
    <row r="172" spans="1:11" ht="28.5" customHeight="1" x14ac:dyDescent="0.45">
      <c r="A172" s="136"/>
      <c r="B172" s="320"/>
      <c r="C172" s="136"/>
      <c r="D172" s="305"/>
      <c r="E172" s="136"/>
      <c r="F172" s="136"/>
      <c r="G172" s="136"/>
      <c r="H172" s="136"/>
      <c r="I172" s="136"/>
      <c r="J172" s="136"/>
      <c r="K172" s="136"/>
    </row>
    <row r="173" spans="1:11" ht="141.75" customHeight="1" x14ac:dyDescent="0.45">
      <c r="A173" s="324"/>
      <c r="B173" s="325"/>
      <c r="C173" s="324"/>
      <c r="D173" s="326"/>
      <c r="E173" s="324"/>
      <c r="F173" s="324"/>
      <c r="G173" s="324"/>
      <c r="H173" s="324"/>
      <c r="I173" s="324"/>
      <c r="J173" s="324"/>
      <c r="K173" s="324"/>
    </row>
  </sheetData>
  <sheetProtection sheet="1" selectLockedCells="1"/>
  <mergeCells count="2">
    <mergeCell ref="B1:I1"/>
    <mergeCell ref="A2:L2"/>
  </mergeCells>
  <dataValidations count="3">
    <dataValidation type="list" allowBlank="1" showInputMessage="1" showErrorMessage="1" sqref="J70 J65" xr:uid="{00000000-0002-0000-0A00-000000000000}">
      <formula1>$AE$1:$AE$5</formula1>
    </dataValidation>
    <dataValidation type="list" allowBlank="1" showInputMessage="1" showErrorMessage="1" sqref="J6:J9 J133 J167:J170 J159:J164 J154:J156 J151 J141:J145 J138 J148 J117:J123 J126:J131 J94:J108 J90:J91 J77:J78 J68:J69 J56:J64 J50:J51 J40:J47 J36:J37 J30:J31 J27 J21:J24 J16:J18 J12:J13 J73:J74 J81:J83 J86:J87 J113:J114" xr:uid="{00000000-0002-0000-0A00-000001000000}">
      <formula1>$AI$2:$AI$5</formula1>
    </dataValidation>
    <dataValidation type="list" allowBlank="1" showInputMessage="1" showErrorMessage="1" sqref="J171" xr:uid="{00000000-0002-0000-0A00-000002000000}">
      <formula1>$AH$3:$AH$6</formula1>
    </dataValidation>
  </dataValidations>
  <pageMargins left="0.23622047244094491" right="0.23622047244094491" top="0.74803149606299213" bottom="0.74803149606299213" header="0.31496062992125984" footer="0.31496062992125984"/>
  <pageSetup paperSize="8" scale="45" fitToHeight="0" orientation="portrait" r:id="rId1"/>
  <headerFooter>
    <oddHeader>&amp;C&amp;9&amp;A</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Arbejdsark!$L$5:$L$7</xm:f>
          </x14:formula1>
          <xm:sqref>J5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6">
    <tabColor rgb="FF00B0F0"/>
    <pageSetUpPr fitToPage="1"/>
  </sheetPr>
  <dimension ref="A1:AH173"/>
  <sheetViews>
    <sheetView view="pageLayout" topLeftCell="A2" zoomScale="90" zoomScaleNormal="87" zoomScalePageLayoutView="90" workbookViewId="0">
      <selection activeCell="J7" sqref="J7"/>
    </sheetView>
  </sheetViews>
  <sheetFormatPr defaultColWidth="8.59765625" defaultRowHeight="14.25" x14ac:dyDescent="0.45"/>
  <cols>
    <col min="1" max="1" width="25.3984375" style="30" customWidth="1"/>
    <col min="2" max="2" width="4.265625" style="30" customWidth="1"/>
    <col min="3" max="3" width="11.73046875" style="30" customWidth="1"/>
    <col min="4" max="4" width="37.265625" style="30" hidden="1" customWidth="1"/>
    <col min="5" max="8" width="8.73046875" style="30" hidden="1" customWidth="1"/>
    <col min="9" max="9" width="32.73046875" style="30" customWidth="1"/>
    <col min="10" max="10" width="14.265625" style="30" customWidth="1"/>
    <col min="11" max="11" width="26.73046875" style="30" customWidth="1"/>
    <col min="12" max="20" width="8.73046875" style="30" hidden="1" customWidth="1"/>
    <col min="21" max="21" width="7.3984375" style="30" hidden="1" customWidth="1"/>
    <col min="22" max="22" width="8.73046875" style="30" customWidth="1"/>
    <col min="23" max="29" width="8.59765625" style="30"/>
    <col min="30" max="32" width="8.73046875" style="30" hidden="1" customWidth="1"/>
    <col min="33" max="34" width="8.59765625" style="30" hidden="1" customWidth="1"/>
    <col min="35" max="16384" width="8.59765625" style="30"/>
  </cols>
  <sheetData>
    <row r="1" spans="1:34" ht="28.5" x14ac:dyDescent="0.45">
      <c r="A1" s="296" t="s">
        <v>188</v>
      </c>
      <c r="B1" s="795" t="str">
        <f>Projektforudsætninger!C26</f>
        <v>-7-</v>
      </c>
      <c r="C1" s="795"/>
      <c r="D1" s="795"/>
      <c r="E1" s="795"/>
      <c r="F1" s="795"/>
      <c r="G1" s="795"/>
      <c r="H1" s="795"/>
      <c r="I1" s="19"/>
      <c r="J1" s="19"/>
      <c r="K1" s="19"/>
      <c r="L1" s="19"/>
      <c r="M1" s="19"/>
      <c r="N1" s="19"/>
      <c r="O1" s="19"/>
      <c r="P1" s="19"/>
      <c r="Q1" s="19"/>
      <c r="R1" s="19"/>
      <c r="S1" s="19"/>
      <c r="T1" s="19"/>
      <c r="U1" s="19"/>
      <c r="AD1" s="30" t="s">
        <v>9</v>
      </c>
    </row>
    <row r="2" spans="1:34" ht="50.25" customHeight="1" x14ac:dyDescent="0.45">
      <c r="A2" s="777" t="s">
        <v>194</v>
      </c>
      <c r="B2" s="777"/>
      <c r="C2" s="777"/>
      <c r="D2" s="777"/>
      <c r="E2" s="777"/>
      <c r="F2" s="777"/>
      <c r="G2" s="777"/>
      <c r="H2" s="777"/>
      <c r="I2" s="777"/>
      <c r="J2" s="777"/>
      <c r="K2" s="777"/>
      <c r="L2" s="19"/>
      <c r="M2" s="19"/>
      <c r="N2" s="19"/>
      <c r="O2" s="19"/>
      <c r="P2" s="19"/>
      <c r="Q2" s="19"/>
      <c r="R2" s="19"/>
      <c r="S2" s="19"/>
      <c r="T2" s="19"/>
      <c r="U2" s="19"/>
      <c r="AD2" s="294" t="s">
        <v>170</v>
      </c>
      <c r="AF2" s="31" t="s">
        <v>171</v>
      </c>
      <c r="AH2" s="30" t="s">
        <v>9</v>
      </c>
    </row>
    <row r="3" spans="1:34" ht="23.25" x14ac:dyDescent="0.45">
      <c r="A3" s="49" t="str">
        <f>Arbejdsark!A2</f>
        <v>MILJØ KVALITET</v>
      </c>
      <c r="B3" s="49"/>
      <c r="C3" s="261"/>
      <c r="D3" s="261"/>
      <c r="E3" s="262"/>
      <c r="F3" s="262"/>
      <c r="G3" s="262"/>
      <c r="H3" s="262"/>
      <c r="I3" s="262"/>
      <c r="J3" s="262"/>
      <c r="K3" s="262"/>
      <c r="L3" s="19"/>
      <c r="M3" s="19"/>
      <c r="N3" s="19"/>
      <c r="O3" s="19"/>
      <c r="P3" s="19"/>
      <c r="Q3" s="19"/>
      <c r="R3" s="19"/>
      <c r="S3" s="19"/>
      <c r="T3" s="19"/>
      <c r="U3" s="19"/>
      <c r="AD3" s="294" t="s">
        <v>498</v>
      </c>
      <c r="AF3" s="31" t="s">
        <v>173</v>
      </c>
      <c r="AH3" s="294" t="s">
        <v>498</v>
      </c>
    </row>
    <row r="4" spans="1:34" s="33" customFormat="1" ht="20.25" customHeight="1" x14ac:dyDescent="0.45">
      <c r="A4" s="67" t="s">
        <v>118</v>
      </c>
      <c r="B4" s="67" t="s">
        <v>179</v>
      </c>
      <c r="C4" s="67" t="s">
        <v>167</v>
      </c>
      <c r="D4" s="68" t="s">
        <v>63</v>
      </c>
      <c r="E4" s="67" t="s">
        <v>190</v>
      </c>
      <c r="F4" s="67" t="s">
        <v>19</v>
      </c>
      <c r="G4" s="67" t="s">
        <v>183</v>
      </c>
      <c r="H4" s="67" t="s">
        <v>191</v>
      </c>
      <c r="I4" s="137" t="s">
        <v>61</v>
      </c>
      <c r="J4" s="67" t="s">
        <v>62</v>
      </c>
      <c r="K4" s="67" t="s">
        <v>185</v>
      </c>
      <c r="L4" s="32"/>
      <c r="M4" s="32"/>
      <c r="N4" s="32"/>
      <c r="O4" s="32"/>
      <c r="P4" s="32"/>
      <c r="Q4" s="32"/>
      <c r="R4" s="32"/>
      <c r="S4" s="32"/>
      <c r="T4" s="32"/>
      <c r="U4" s="32"/>
      <c r="AD4" s="294" t="s">
        <v>499</v>
      </c>
      <c r="AE4" s="30"/>
      <c r="AF4" s="31" t="s">
        <v>12</v>
      </c>
      <c r="AH4" s="294" t="s">
        <v>499</v>
      </c>
    </row>
    <row r="5" spans="1:34" ht="28.5" customHeight="1" x14ac:dyDescent="0.45">
      <c r="A5" s="49" t="str">
        <f>Arbejdsark!$A$4</f>
        <v>Materialer</v>
      </c>
      <c r="B5" s="50">
        <v>1</v>
      </c>
      <c r="C5" s="261"/>
      <c r="D5" s="261"/>
      <c r="E5" s="262"/>
      <c r="F5" s="262"/>
      <c r="G5" s="262"/>
      <c r="H5" s="262"/>
      <c r="I5" s="262" t="str">
        <f>IF('Sortering af spørgsmål'!$C$6=Projektforudsætninger!$C$26,"Udfyld spørgsmål","Ingen spørgsmål")</f>
        <v>Ingen spørgsmål</v>
      </c>
      <c r="J5" s="262"/>
      <c r="K5" s="262"/>
      <c r="L5" s="26">
        <f>Arbejdsark!L4</f>
        <v>0</v>
      </c>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D5" s="294" t="s">
        <v>495</v>
      </c>
      <c r="AH5" s="294" t="s">
        <v>495</v>
      </c>
    </row>
    <row r="6" spans="1:34" ht="141.75" customHeight="1" x14ac:dyDescent="0.45">
      <c r="A6" s="148" t="str">
        <f>Arbejdsark!$A$4</f>
        <v>Materialer</v>
      </c>
      <c r="B6" s="43" t="str">
        <f>Arbejdsark!$B$4</f>
        <v>1.1</v>
      </c>
      <c r="C6" s="45" t="str">
        <f>IF('Sortering af spørgsmål'!C6=Projektforudsætninger!$C$26,Arbejdsark!C4,"")</f>
        <v/>
      </c>
      <c r="D6" s="46"/>
      <c r="E6" s="45"/>
      <c r="F6" s="45"/>
      <c r="G6" s="45"/>
      <c r="H6" s="45"/>
      <c r="I6" s="45" t="str">
        <f>IF('Sortering af spørgsmål'!C6=Projektforudsætninger!$C$26,Arbejdsark!K4,"")</f>
        <v/>
      </c>
      <c r="J6" s="41" t="s">
        <v>9</v>
      </c>
      <c r="K6" s="41"/>
      <c r="L6" s="19"/>
      <c r="M6" s="19"/>
      <c r="N6" s="19"/>
      <c r="O6" s="19"/>
      <c r="P6" s="19"/>
      <c r="Q6" s="19"/>
      <c r="R6" s="19"/>
      <c r="S6" s="19"/>
      <c r="T6" s="19"/>
      <c r="U6" s="19"/>
      <c r="AD6" s="294" t="s">
        <v>186</v>
      </c>
    </row>
    <row r="7" spans="1:34" ht="141.75" customHeight="1" x14ac:dyDescent="0.45">
      <c r="A7" s="148" t="str">
        <f>Arbejdsark!$A$4</f>
        <v>Materialer</v>
      </c>
      <c r="B7" s="43" t="str">
        <f>Arbejdsark!$B$10</f>
        <v>1.2</v>
      </c>
      <c r="C7" s="45" t="str">
        <f>IF('Sortering af spørgsmål'!C6=Projektforudsætninger!$C$26,Arbejdsark!C10,"")</f>
        <v/>
      </c>
      <c r="D7" s="46" t="str">
        <f>Arbejdsark!D10</f>
        <v>ENV1.2</v>
      </c>
      <c r="E7" s="45" t="str">
        <f>Arbejdsark!I10</f>
        <v>x</v>
      </c>
      <c r="F7" s="45">
        <f>Arbejdsark!J10</f>
        <v>0</v>
      </c>
      <c r="G7" s="45" t="e">
        <f>Arbejdsark!#REF!</f>
        <v>#REF!</v>
      </c>
      <c r="H7" s="45" t="e">
        <f>Arbejdsark!#REF!</f>
        <v>#REF!</v>
      </c>
      <c r="I7" s="45" t="str">
        <f>IF('Sortering af spørgsmål'!C6=Projektforudsætninger!$C$26,Arbejdsark!K10,"")</f>
        <v/>
      </c>
      <c r="J7" s="41" t="s">
        <v>9</v>
      </c>
      <c r="K7" s="41"/>
      <c r="L7" s="19"/>
      <c r="M7" s="19"/>
      <c r="N7" s="19"/>
      <c r="O7" s="19"/>
      <c r="P7" s="19"/>
      <c r="Q7" s="19"/>
      <c r="R7" s="19"/>
      <c r="S7" s="19"/>
      <c r="T7" s="19"/>
      <c r="U7" s="19"/>
    </row>
    <row r="8" spans="1:34" ht="184.5" customHeight="1" x14ac:dyDescent="0.45">
      <c r="A8" s="148" t="str">
        <f>Arbejdsark!$A$4</f>
        <v>Materialer</v>
      </c>
      <c r="B8" s="43" t="str">
        <f>Arbejdsark!$B$15</f>
        <v>1.3</v>
      </c>
      <c r="C8" s="45" t="str">
        <f>IF('Sortering af spørgsmål'!C6=Projektforudsætninger!$C$26,Arbejdsark!C15,"")</f>
        <v/>
      </c>
      <c r="D8" s="46">
        <f>Arbejdsark!D11</f>
        <v>0</v>
      </c>
      <c r="E8" s="45">
        <f>Arbejdsark!I11</f>
        <v>0</v>
      </c>
      <c r="F8" s="45">
        <f>Arbejdsark!J11</f>
        <v>0</v>
      </c>
      <c r="G8" s="45" t="e">
        <f>Arbejdsark!#REF!</f>
        <v>#REF!</v>
      </c>
      <c r="H8" s="45" t="e">
        <f>Arbejdsark!#REF!</f>
        <v>#REF!</v>
      </c>
      <c r="I8" s="45" t="str">
        <f>IF('Sortering af spørgsmål'!C6=Projektforudsætninger!$C$26,Arbejdsark!K15,"")</f>
        <v/>
      </c>
      <c r="J8" s="41" t="s">
        <v>9</v>
      </c>
      <c r="K8" s="41"/>
      <c r="L8" s="19"/>
      <c r="M8" s="19"/>
      <c r="N8" s="19"/>
      <c r="O8" s="19"/>
      <c r="P8" s="19"/>
      <c r="Q8" s="19"/>
      <c r="R8" s="19"/>
      <c r="S8" s="19"/>
      <c r="T8" s="19"/>
      <c r="U8" s="19"/>
    </row>
    <row r="9" spans="1:34" ht="198.4" customHeight="1" x14ac:dyDescent="0.45">
      <c r="A9" s="148" t="str">
        <f>Arbejdsark!$A$4</f>
        <v>Materialer</v>
      </c>
      <c r="B9" s="43" t="str">
        <f>Arbejdsark!$B$20</f>
        <v>1.4</v>
      </c>
      <c r="C9" s="45" t="str">
        <f>IF('Sortering af spørgsmål'!C6=Projektforudsætninger!$C$26,Arbejdsark!C20,"")</f>
        <v/>
      </c>
      <c r="D9" s="46">
        <f>Arbejdsark!D12</f>
        <v>0</v>
      </c>
      <c r="E9" s="45">
        <f>Arbejdsark!I12</f>
        <v>0</v>
      </c>
      <c r="F9" s="45">
        <f>Arbejdsark!J12</f>
        <v>0</v>
      </c>
      <c r="G9" s="45" t="e">
        <f>Arbejdsark!#REF!</f>
        <v>#REF!</v>
      </c>
      <c r="H9" s="45" t="e">
        <f>Arbejdsark!#REF!</f>
        <v>#REF!</v>
      </c>
      <c r="I9" s="45" t="str">
        <f>IF('Sortering af spørgsmål'!C6=Projektforudsætninger!$C$26,Arbejdsark!K20,"")</f>
        <v/>
      </c>
      <c r="J9" s="41" t="s">
        <v>9</v>
      </c>
      <c r="K9" s="41"/>
      <c r="L9" s="19"/>
      <c r="M9" s="19"/>
      <c r="N9" s="19"/>
      <c r="O9" s="19"/>
      <c r="P9" s="19"/>
      <c r="Q9" s="19"/>
      <c r="R9" s="19"/>
      <c r="S9" s="19"/>
      <c r="T9" s="19"/>
      <c r="U9" s="19"/>
      <c r="AD9" s="294" t="s">
        <v>10</v>
      </c>
      <c r="AF9" s="30">
        <v>1</v>
      </c>
    </row>
    <row r="10" spans="1:34" x14ac:dyDescent="0.45">
      <c r="A10" s="45"/>
      <c r="B10" s="38"/>
      <c r="C10" s="45"/>
      <c r="D10" s="46"/>
      <c r="E10" s="45"/>
      <c r="F10" s="45"/>
      <c r="G10" s="45"/>
      <c r="H10" s="45"/>
      <c r="I10" s="45"/>
      <c r="J10" s="47"/>
      <c r="K10" s="47"/>
      <c r="L10" s="19"/>
      <c r="M10" s="19"/>
      <c r="N10" s="19"/>
      <c r="O10" s="19"/>
      <c r="P10" s="19"/>
      <c r="Q10" s="19"/>
      <c r="R10" s="19"/>
      <c r="S10" s="19"/>
      <c r="T10" s="19"/>
      <c r="U10" s="19"/>
      <c r="AD10" s="294" t="s">
        <v>12</v>
      </c>
      <c r="AF10" s="30">
        <v>2</v>
      </c>
    </row>
    <row r="11" spans="1:34" ht="28.5" customHeight="1" x14ac:dyDescent="0.45">
      <c r="A11" s="49" t="str">
        <f>Arbejdsark!$A$25</f>
        <v>Energi</v>
      </c>
      <c r="B11" s="50">
        <v>2</v>
      </c>
      <c r="C11" s="261"/>
      <c r="D11" s="261"/>
      <c r="E11" s="262"/>
      <c r="F11" s="262"/>
      <c r="G11" s="262"/>
      <c r="H11" s="262"/>
      <c r="I11" s="262" t="str">
        <f>IF('Sortering af spørgsmål'!$C$7=Projektforudsætninger!$C$26,"Udfyld spørgsmål","Ingen spørgsmål")</f>
        <v>Ingen spørgsmål</v>
      </c>
      <c r="J11" s="262"/>
      <c r="K11" s="262"/>
      <c r="L11" s="19"/>
      <c r="M11" s="19"/>
      <c r="N11" s="19"/>
      <c r="O11" s="19"/>
      <c r="P11" s="19"/>
      <c r="Q11" s="19"/>
      <c r="R11" s="19"/>
      <c r="S11" s="19"/>
      <c r="T11" s="19"/>
      <c r="U11" s="19"/>
      <c r="AD11" s="294" t="s">
        <v>192</v>
      </c>
      <c r="AF11" s="30">
        <v>3</v>
      </c>
    </row>
    <row r="12" spans="1:34" ht="255.4" customHeight="1" x14ac:dyDescent="0.45">
      <c r="A12" s="45" t="str">
        <f>Arbejdsark!$A$25</f>
        <v>Energi</v>
      </c>
      <c r="B12" s="43" t="str">
        <f>Arbejdsark!$B$25</f>
        <v>2.1</v>
      </c>
      <c r="C12" s="45" t="str">
        <f>IF('Sortering af spørgsmål'!C7=Projektforudsætninger!$C$26,Arbejdsark!C25,"")</f>
        <v/>
      </c>
      <c r="D12" s="46" t="str">
        <f>Arbejdsark!D15</f>
        <v>ENV1.3</v>
      </c>
      <c r="E12" s="45" t="str">
        <f>Arbejdsark!I15</f>
        <v>x</v>
      </c>
      <c r="F12" s="45">
        <f>Arbejdsark!J15</f>
        <v>0</v>
      </c>
      <c r="G12" s="45" t="e">
        <f>Arbejdsark!#REF!</f>
        <v>#REF!</v>
      </c>
      <c r="H12" s="45" t="e">
        <f>Arbejdsark!#REF!</f>
        <v>#REF!</v>
      </c>
      <c r="I12" s="45" t="str">
        <f>IF('Sortering af spørgsmål'!C7=Projektforudsætninger!$C$26,Arbejdsark!K25,"")</f>
        <v/>
      </c>
      <c r="J12" s="41" t="s">
        <v>9</v>
      </c>
      <c r="K12" s="41"/>
      <c r="L12" s="19"/>
      <c r="M12" s="19"/>
      <c r="N12" s="19"/>
      <c r="O12" s="19"/>
      <c r="P12" s="19"/>
      <c r="Q12" s="19"/>
      <c r="R12" s="19"/>
      <c r="S12" s="19"/>
      <c r="T12" s="19"/>
      <c r="U12" s="19"/>
      <c r="AF12" s="30">
        <v>4</v>
      </c>
    </row>
    <row r="13" spans="1:34" ht="99.4" customHeight="1" x14ac:dyDescent="0.45">
      <c r="A13" s="45" t="str">
        <f>Arbejdsark!$A$25</f>
        <v>Energi</v>
      </c>
      <c r="B13" s="43" t="str">
        <f>Arbejdsark!$B$30</f>
        <v>2.2</v>
      </c>
      <c r="C13" s="45" t="str">
        <f>IF('Sortering af spørgsmål'!C7=Projektforudsætninger!$C$26,Arbejdsark!C30,"")</f>
        <v/>
      </c>
      <c r="D13" s="46">
        <f>Arbejdsark!D16</f>
        <v>0</v>
      </c>
      <c r="E13" s="45">
        <f>Arbejdsark!I16</f>
        <v>0</v>
      </c>
      <c r="F13" s="45">
        <f>Arbejdsark!J16</f>
        <v>0</v>
      </c>
      <c r="G13" s="45" t="e">
        <f>Arbejdsark!#REF!</f>
        <v>#REF!</v>
      </c>
      <c r="H13" s="45" t="e">
        <f>Arbejdsark!#REF!</f>
        <v>#REF!</v>
      </c>
      <c r="I13" s="45" t="str">
        <f>IF('Sortering af spørgsmål'!C7=Projektforudsætninger!$C$26,Arbejdsark!K30,"")</f>
        <v/>
      </c>
      <c r="J13" s="41" t="s">
        <v>9</v>
      </c>
      <c r="K13" s="41"/>
      <c r="L13" s="19"/>
      <c r="M13" s="19"/>
      <c r="N13" s="19"/>
      <c r="O13" s="19"/>
      <c r="P13" s="19"/>
      <c r="Q13" s="19"/>
      <c r="R13" s="19"/>
      <c r="S13" s="19"/>
      <c r="T13" s="19"/>
      <c r="U13" s="19"/>
      <c r="AD13" s="294" t="s">
        <v>51</v>
      </c>
    </row>
    <row r="14" spans="1:34" ht="28.5" customHeight="1" x14ac:dyDescent="0.45">
      <c r="A14" s="45"/>
      <c r="B14" s="23"/>
      <c r="C14" s="45"/>
      <c r="D14" s="46"/>
      <c r="E14" s="45"/>
      <c r="F14" s="45"/>
      <c r="G14" s="45"/>
      <c r="H14" s="45"/>
      <c r="I14" s="45"/>
      <c r="J14" s="47"/>
      <c r="K14" s="47"/>
      <c r="L14" s="19"/>
      <c r="M14" s="19"/>
      <c r="N14" s="19"/>
      <c r="O14" s="19"/>
      <c r="P14" s="19"/>
      <c r="Q14" s="19"/>
      <c r="R14" s="19"/>
      <c r="S14" s="19"/>
      <c r="T14" s="19"/>
      <c r="U14" s="19"/>
      <c r="AD14" s="294" t="s">
        <v>176</v>
      </c>
      <c r="AF14" s="294">
        <v>3</v>
      </c>
    </row>
    <row r="15" spans="1:34" ht="28.5" customHeight="1" x14ac:dyDescent="0.45">
      <c r="A15" s="49" t="str">
        <f>Arbejdsark!$A$35</f>
        <v>Vand</v>
      </c>
      <c r="B15" s="50">
        <v>3</v>
      </c>
      <c r="C15" s="261"/>
      <c r="D15" s="261"/>
      <c r="E15" s="262"/>
      <c r="F15" s="262"/>
      <c r="G15" s="262"/>
      <c r="H15" s="262"/>
      <c r="I15" s="262" t="str">
        <f>IF('Sortering af spørgsmål'!$C$8=Projektforudsætninger!$C$26,"Udfyld spørgsmål","Ingen spørgsmål")</f>
        <v>Ingen spørgsmål</v>
      </c>
      <c r="J15" s="262"/>
      <c r="K15" s="262"/>
      <c r="L15" s="19"/>
      <c r="M15" s="19"/>
      <c r="N15" s="19"/>
      <c r="O15" s="19"/>
      <c r="P15" s="19"/>
      <c r="Q15" s="19"/>
      <c r="R15" s="19"/>
      <c r="S15" s="19"/>
      <c r="T15" s="19"/>
      <c r="U15" s="19"/>
      <c r="AD15" s="294" t="s">
        <v>55</v>
      </c>
      <c r="AE15" s="33"/>
      <c r="AF15" s="294">
        <v>2</v>
      </c>
    </row>
    <row r="16" spans="1:34" ht="170.25" customHeight="1" x14ac:dyDescent="0.45">
      <c r="A16" s="45" t="str">
        <f>Arbejdsark!$A$35</f>
        <v>Vand</v>
      </c>
      <c r="B16" s="43" t="str">
        <f>Arbejdsark!$B$35</f>
        <v>3.1</v>
      </c>
      <c r="C16" s="45" t="str">
        <f>IF('Sortering af spørgsmål'!C8=Projektforudsætninger!$C$26,Arbejdsark!C35,"")</f>
        <v/>
      </c>
      <c r="D16" s="46">
        <f>Arbejdsark!D18</f>
        <v>0</v>
      </c>
      <c r="E16" s="45">
        <f>Arbejdsark!I18</f>
        <v>0</v>
      </c>
      <c r="F16" s="45">
        <f>Arbejdsark!J18</f>
        <v>0</v>
      </c>
      <c r="G16" s="45" t="e">
        <f>Arbejdsark!#REF!</f>
        <v>#REF!</v>
      </c>
      <c r="H16" s="45" t="e">
        <f>Arbejdsark!#REF!</f>
        <v>#REF!</v>
      </c>
      <c r="I16" s="45" t="str">
        <f>IF('Sortering af spørgsmål'!C8=Projektforudsætninger!$C$26,Arbejdsark!K35,"")</f>
        <v/>
      </c>
      <c r="J16" s="41" t="s">
        <v>9</v>
      </c>
      <c r="K16" s="41"/>
      <c r="L16" s="19"/>
      <c r="M16" s="19"/>
      <c r="N16" s="19"/>
      <c r="O16" s="19"/>
      <c r="P16" s="19"/>
      <c r="Q16" s="19"/>
      <c r="R16" s="19"/>
      <c r="S16" s="19"/>
      <c r="T16" s="19"/>
      <c r="U16" s="19"/>
      <c r="AD16" s="294" t="s">
        <v>56</v>
      </c>
      <c r="AF16" s="294" t="s">
        <v>187</v>
      </c>
    </row>
    <row r="17" spans="1:21" ht="170.25" customHeight="1" x14ac:dyDescent="0.45">
      <c r="A17" s="45" t="str">
        <f>Arbejdsark!$A$35</f>
        <v>Vand</v>
      </c>
      <c r="B17" s="43" t="str">
        <f>Arbejdsark!$B$40</f>
        <v>3.2</v>
      </c>
      <c r="C17" s="45" t="str">
        <f>IF('Sortering af spørgsmål'!C8=Projektforudsætninger!$C$26,Arbejdsark!C40,"")</f>
        <v/>
      </c>
      <c r="D17" s="46" t="str">
        <f>Arbejdsark!D20</f>
        <v>ENV1.1 + ENV2.1
Vægtning: 40% af summen af ENV1.1 + ENV2.1 pkt. 1 og 2</v>
      </c>
      <c r="E17" s="45" t="str">
        <f>Arbejdsark!I20</f>
        <v>x</v>
      </c>
      <c r="F17" s="45">
        <f>Arbejdsark!J20</f>
        <v>0</v>
      </c>
      <c r="G17" s="45" t="e">
        <f>Arbejdsark!#REF!</f>
        <v>#REF!</v>
      </c>
      <c r="H17" s="45" t="e">
        <f>Arbejdsark!#REF!</f>
        <v>#REF!</v>
      </c>
      <c r="I17" s="45" t="str">
        <f>IF('Sortering af spørgsmål'!C8=Projektforudsætninger!$C$26,Arbejdsark!K40,"")</f>
        <v/>
      </c>
      <c r="J17" s="41" t="s">
        <v>9</v>
      </c>
      <c r="K17" s="41"/>
      <c r="L17" s="19"/>
      <c r="M17" s="19"/>
      <c r="N17" s="19"/>
      <c r="O17" s="19"/>
      <c r="P17" s="19"/>
      <c r="Q17" s="19"/>
      <c r="R17" s="19"/>
      <c r="S17" s="19"/>
      <c r="T17" s="19"/>
      <c r="U17" s="19"/>
    </row>
    <row r="18" spans="1:21" ht="99.4" customHeight="1" x14ac:dyDescent="0.45">
      <c r="A18" s="45" t="str">
        <f>Arbejdsark!$A$35</f>
        <v>Vand</v>
      </c>
      <c r="B18" s="43" t="str">
        <f>Arbejdsark!$B$45</f>
        <v>3.3</v>
      </c>
      <c r="C18" s="45" t="str">
        <f>IF('Sortering af spørgsmål'!C8=Projektforudsætninger!$C$26,Arbejdsark!C45,"")</f>
        <v/>
      </c>
      <c r="D18" s="46">
        <f>Arbejdsark!D21</f>
        <v>0</v>
      </c>
      <c r="E18" s="45">
        <f>Arbejdsark!I21</f>
        <v>0</v>
      </c>
      <c r="F18" s="45">
        <f>Arbejdsark!J21</f>
        <v>0</v>
      </c>
      <c r="G18" s="45" t="e">
        <f>Arbejdsark!#REF!</f>
        <v>#REF!</v>
      </c>
      <c r="H18" s="45" t="e">
        <f>Arbejdsark!#REF!</f>
        <v>#REF!</v>
      </c>
      <c r="I18" s="45" t="str">
        <f>IF('Sortering af spørgsmål'!$C$8=Projektforudsætninger!$C$26,Arbejdsark!K45,"")</f>
        <v/>
      </c>
      <c r="J18" s="41" t="s">
        <v>9</v>
      </c>
      <c r="K18" s="41"/>
      <c r="L18" s="19"/>
      <c r="M18" s="19"/>
      <c r="N18" s="19"/>
      <c r="O18" s="19"/>
      <c r="P18" s="19"/>
      <c r="Q18" s="19"/>
      <c r="R18" s="19"/>
      <c r="S18" s="19"/>
      <c r="T18" s="19"/>
      <c r="U18" s="19"/>
    </row>
    <row r="19" spans="1:21" ht="28.5" customHeight="1" x14ac:dyDescent="0.45">
      <c r="A19" s="45"/>
      <c r="B19" s="45"/>
      <c r="C19" s="45"/>
      <c r="D19" s="46"/>
      <c r="E19" s="45"/>
      <c r="F19" s="45"/>
      <c r="G19" s="45"/>
      <c r="H19" s="45"/>
      <c r="I19" s="45"/>
      <c r="J19" s="47"/>
      <c r="K19" s="47"/>
      <c r="L19" s="19"/>
      <c r="M19" s="19"/>
      <c r="N19" s="19"/>
      <c r="O19" s="19"/>
      <c r="P19" s="19"/>
      <c r="Q19" s="19"/>
      <c r="R19" s="19"/>
      <c r="S19" s="19"/>
      <c r="T19" s="19"/>
      <c r="U19" s="19"/>
    </row>
    <row r="20" spans="1:21" ht="28.5" customHeight="1" x14ac:dyDescent="0.45">
      <c r="A20" s="49" t="str">
        <f>Arbejdsark!$A$51</f>
        <v>Beplantning</v>
      </c>
      <c r="B20" s="50">
        <v>4</v>
      </c>
      <c r="C20" s="261"/>
      <c r="D20" s="261"/>
      <c r="E20" s="262"/>
      <c r="F20" s="262"/>
      <c r="G20" s="262"/>
      <c r="H20" s="262"/>
      <c r="I20" s="262" t="str">
        <f>IF('Sortering af spørgsmål'!$C$9=Projektforudsætninger!$C$26,"Udfyld spørgsmål","Ingen spørgsmål")</f>
        <v>Ingen spørgsmål</v>
      </c>
      <c r="J20" s="262"/>
      <c r="K20" s="262"/>
      <c r="L20" s="19"/>
      <c r="M20" s="19"/>
      <c r="N20" s="19"/>
      <c r="O20" s="19"/>
      <c r="P20" s="19"/>
      <c r="Q20" s="19"/>
      <c r="R20" s="19"/>
      <c r="S20" s="19"/>
      <c r="T20" s="19"/>
      <c r="U20" s="19"/>
    </row>
    <row r="21" spans="1:21" ht="127.5" customHeight="1" x14ac:dyDescent="0.45">
      <c r="A21" s="45" t="str">
        <f>Arbejdsark!$A$51</f>
        <v>Beplantning</v>
      </c>
      <c r="B21" s="43" t="str">
        <f>Arbejdsark!$B$51</f>
        <v>4.1</v>
      </c>
      <c r="C21" s="45" t="str">
        <f>IF('Sortering af spørgsmål'!C9=Projektforudsætninger!$C$26,Arbejdsark!C51,"")</f>
        <v/>
      </c>
      <c r="D21" s="46">
        <f>Arbejdsark!D23</f>
        <v>0</v>
      </c>
      <c r="E21" s="45">
        <f>Arbejdsark!I23</f>
        <v>0</v>
      </c>
      <c r="F21" s="45">
        <f>Arbejdsark!J23</f>
        <v>0</v>
      </c>
      <c r="G21" s="45" t="e">
        <f>Arbejdsark!#REF!</f>
        <v>#REF!</v>
      </c>
      <c r="H21" s="45" t="e">
        <f>Arbejdsark!#REF!</f>
        <v>#REF!</v>
      </c>
      <c r="I21" s="45" t="str">
        <f>IF('Sortering af spørgsmål'!$C$9=Projektforudsætninger!$C$26,Arbejdsark!K51,"")</f>
        <v/>
      </c>
      <c r="J21" s="41" t="s">
        <v>9</v>
      </c>
      <c r="K21" s="41"/>
      <c r="L21" s="19"/>
      <c r="M21" s="19"/>
      <c r="N21" s="19"/>
      <c r="O21" s="19"/>
      <c r="P21" s="19"/>
      <c r="Q21" s="19"/>
      <c r="R21" s="19"/>
      <c r="S21" s="19"/>
      <c r="T21" s="19"/>
      <c r="U21" s="19"/>
    </row>
    <row r="22" spans="1:21" ht="42.6" customHeight="1" x14ac:dyDescent="0.45">
      <c r="A22" s="45"/>
      <c r="B22" s="43" t="str">
        <f>Arbejdsark!$B$58</f>
        <v>4.2</v>
      </c>
      <c r="C22" s="45" t="str">
        <f>IF('Sortering af spørgsmål'!C16=Projektforudsætninger!$C$26,Arbejdsark!C58,"")</f>
        <v/>
      </c>
      <c r="D22" s="46"/>
      <c r="E22" s="45"/>
      <c r="F22" s="45"/>
      <c r="G22" s="45"/>
      <c r="H22" s="45"/>
      <c r="I22" s="45" t="str">
        <f>IF('Sortering af spørgsmål'!$C$9=Projektforudsætninger!$C$26,Arbejdsark!K58,"")</f>
        <v/>
      </c>
      <c r="J22" s="41" t="s">
        <v>9</v>
      </c>
      <c r="K22" s="41"/>
      <c r="L22" s="19"/>
      <c r="M22" s="19"/>
      <c r="N22" s="19"/>
      <c r="O22" s="19"/>
      <c r="P22" s="19"/>
      <c r="Q22" s="19"/>
      <c r="R22" s="19"/>
      <c r="S22" s="19"/>
      <c r="T22" s="19"/>
      <c r="U22" s="19"/>
    </row>
    <row r="23" spans="1:21" ht="113.65" customHeight="1" x14ac:dyDescent="0.45">
      <c r="A23" s="45" t="str">
        <f>Arbejdsark!$A$51</f>
        <v>Beplantning</v>
      </c>
      <c r="B23" s="43" t="str">
        <f>Arbejdsark!$B$63</f>
        <v>4.3</v>
      </c>
      <c r="C23" s="45" t="str">
        <f>IF('Sortering af spørgsmål'!C9=Projektforudsætninger!$C$26,Arbejdsark!C63,"")</f>
        <v/>
      </c>
      <c r="D23" s="46">
        <f>Arbejdsark!D24</f>
        <v>0</v>
      </c>
      <c r="E23" s="45">
        <f>Arbejdsark!I24</f>
        <v>0</v>
      </c>
      <c r="F23" s="45">
        <f>Arbejdsark!J24</f>
        <v>0</v>
      </c>
      <c r="G23" s="45" t="e">
        <f>Arbejdsark!#REF!</f>
        <v>#REF!</v>
      </c>
      <c r="H23" s="45" t="e">
        <f>Arbejdsark!#REF!</f>
        <v>#REF!</v>
      </c>
      <c r="I23" s="45" t="str">
        <f>IF('Sortering af spørgsmål'!C9=Projektforudsætninger!$C$26,Arbejdsark!K63,"")</f>
        <v/>
      </c>
      <c r="J23" s="41" t="s">
        <v>9</v>
      </c>
      <c r="K23" s="41"/>
      <c r="L23" s="19"/>
      <c r="M23" s="19"/>
      <c r="N23" s="19"/>
      <c r="O23" s="19"/>
      <c r="P23" s="19"/>
      <c r="Q23" s="19"/>
      <c r="R23" s="19"/>
      <c r="S23" s="19"/>
      <c r="T23" s="19"/>
      <c r="U23" s="19"/>
    </row>
    <row r="24" spans="1:21" ht="113.65" customHeight="1" x14ac:dyDescent="0.45">
      <c r="A24" s="45" t="str">
        <f>Arbejdsark!$A$51</f>
        <v>Beplantning</v>
      </c>
      <c r="B24" s="43" t="str">
        <f>Arbejdsark!$B$68</f>
        <v>4.4</v>
      </c>
      <c r="C24" s="45" t="str">
        <f>IF('Sortering af spørgsmål'!C9=Projektforudsætninger!$C$26,Arbejdsark!C68,"")</f>
        <v/>
      </c>
      <c r="D24" s="46" t="str">
        <f>Arbejdsark!D25</f>
        <v>ENV2.1
Vægtning: ENV2.1 pkt. 3</v>
      </c>
      <c r="E24" s="45" t="str">
        <f>Arbejdsark!I25</f>
        <v>x</v>
      </c>
      <c r="F24" s="45">
        <f>Arbejdsark!J25</f>
        <v>0</v>
      </c>
      <c r="G24" s="45" t="e">
        <f>Arbejdsark!#REF!</f>
        <v>#REF!</v>
      </c>
      <c r="H24" s="45" t="e">
        <f>Arbejdsark!#REF!</f>
        <v>#REF!</v>
      </c>
      <c r="I24" s="45" t="str">
        <f>IF('Sortering af spørgsmål'!$C$9=Projektforudsætninger!$C$26,Arbejdsark!K68,"")</f>
        <v/>
      </c>
      <c r="J24" s="41" t="s">
        <v>9</v>
      </c>
      <c r="K24" s="41"/>
      <c r="L24" s="19"/>
      <c r="M24" s="19"/>
      <c r="N24" s="19"/>
      <c r="O24" s="19"/>
      <c r="P24" s="19"/>
      <c r="Q24" s="19"/>
      <c r="R24" s="19"/>
      <c r="S24" s="19"/>
      <c r="T24" s="19"/>
      <c r="U24" s="19"/>
    </row>
    <row r="25" spans="1:21" x14ac:dyDescent="0.45">
      <c r="A25" s="45"/>
      <c r="B25" s="134"/>
      <c r="C25" s="45"/>
      <c r="D25" s="46"/>
      <c r="E25" s="45"/>
      <c r="F25" s="45"/>
      <c r="G25" s="45"/>
      <c r="H25" s="45"/>
      <c r="I25" s="45"/>
      <c r="J25" s="47"/>
      <c r="K25" s="47"/>
      <c r="L25" s="19"/>
      <c r="M25" s="19"/>
      <c r="N25" s="19"/>
      <c r="O25" s="19"/>
      <c r="P25" s="19"/>
      <c r="Q25" s="19"/>
      <c r="R25" s="19"/>
      <c r="S25" s="19"/>
      <c r="T25" s="19"/>
      <c r="U25" s="19"/>
    </row>
    <row r="26" spans="1:21" ht="28.5" customHeight="1" x14ac:dyDescent="0.45">
      <c r="A26" s="49" t="str">
        <f>Arbejdsark!$A$73</f>
        <v>Bebyggelsestæthed</v>
      </c>
      <c r="B26" s="50">
        <v>5</v>
      </c>
      <c r="C26" s="261"/>
      <c r="D26" s="261"/>
      <c r="E26" s="262"/>
      <c r="F26" s="262"/>
      <c r="G26" s="262"/>
      <c r="H26" s="262"/>
      <c r="I26" s="262" t="str">
        <f>IF('Sortering af spørgsmål'!$C$10=Projektforudsætninger!$C$26,"Udfyld spørgsmål","Ingen spørgsmål")</f>
        <v>Ingen spørgsmål</v>
      </c>
      <c r="J26" s="262"/>
      <c r="K26" s="262"/>
      <c r="L26" s="19"/>
      <c r="M26" s="19"/>
      <c r="N26" s="19"/>
      <c r="O26" s="19"/>
      <c r="P26" s="19"/>
      <c r="Q26" s="19"/>
      <c r="R26" s="19"/>
      <c r="S26" s="19"/>
      <c r="T26" s="19"/>
      <c r="U26" s="19"/>
    </row>
    <row r="27" spans="1:21" ht="198.4" customHeight="1" x14ac:dyDescent="0.45">
      <c r="A27" s="45" t="str">
        <f>Arbejdsark!$A$73</f>
        <v>Bebyggelsestæthed</v>
      </c>
      <c r="B27" s="43" t="str">
        <f>Arbejdsark!$B$73</f>
        <v>5.1</v>
      </c>
      <c r="C27" s="45" t="str">
        <f>IF(Projektforudsætninger!C37=Projektforudsætninger!H7,IF('Sortering af spørgsmål'!C10=Projektforudsætninger!$C$26,Arbejdsark!C73,""),"")</f>
        <v/>
      </c>
      <c r="D27" s="46">
        <f>Arbejdsark!D27</f>
        <v>0</v>
      </c>
      <c r="E27" s="45">
        <f>Arbejdsark!I27</f>
        <v>0</v>
      </c>
      <c r="F27" s="45">
        <f>Arbejdsark!J27</f>
        <v>0</v>
      </c>
      <c r="G27" s="45" t="e">
        <f>Arbejdsark!#REF!</f>
        <v>#REF!</v>
      </c>
      <c r="H27" s="45" t="e">
        <f>Arbejdsark!#REF!</f>
        <v>#REF!</v>
      </c>
      <c r="I27" s="45" t="str">
        <f>IF(Projektforudsætninger!C37=Projektforudsætninger!H7,IF('Sortering af spørgsmål'!$C$10=Projektforudsætninger!$C$26,Arbejdsark!K73,""),"")</f>
        <v/>
      </c>
      <c r="J27" s="41" t="s">
        <v>9</v>
      </c>
      <c r="K27" s="41"/>
      <c r="L27" s="19"/>
      <c r="M27" s="19"/>
      <c r="N27" s="19"/>
      <c r="O27" s="19"/>
      <c r="P27" s="19"/>
      <c r="Q27" s="19"/>
      <c r="R27" s="19"/>
      <c r="S27" s="19"/>
      <c r="T27" s="19"/>
      <c r="U27" s="19"/>
    </row>
    <row r="28" spans="1:21" x14ac:dyDescent="0.45">
      <c r="A28" s="45"/>
      <c r="B28" s="45"/>
      <c r="C28" s="45"/>
      <c r="D28" s="46"/>
      <c r="E28" s="45"/>
      <c r="F28" s="45"/>
      <c r="G28" s="45"/>
      <c r="H28" s="45"/>
      <c r="I28" s="45"/>
      <c r="J28" s="47"/>
      <c r="K28" s="47"/>
      <c r="L28" s="19"/>
      <c r="M28" s="19"/>
      <c r="N28" s="19"/>
      <c r="O28" s="19"/>
      <c r="P28" s="19"/>
      <c r="Q28" s="19"/>
      <c r="R28" s="19"/>
      <c r="S28" s="19"/>
      <c r="T28" s="19"/>
      <c r="U28" s="19"/>
    </row>
    <row r="29" spans="1:21" ht="28.5" customHeight="1" x14ac:dyDescent="0.45">
      <c r="A29" s="49" t="str">
        <f>Arbejdsark!$A$78</f>
        <v>Forurening</v>
      </c>
      <c r="B29" s="50">
        <v>6</v>
      </c>
      <c r="C29" s="261"/>
      <c r="D29" s="261"/>
      <c r="E29" s="262"/>
      <c r="F29" s="262"/>
      <c r="G29" s="262"/>
      <c r="H29" s="262"/>
      <c r="I29" s="262" t="str">
        <f>IF('Sortering af spørgsmål'!$C$11=Projektforudsætninger!$C$26,"Udfyld spørgsmål","Ingen spørgsmål")</f>
        <v>Ingen spørgsmål</v>
      </c>
      <c r="J29" s="262"/>
      <c r="K29" s="262"/>
      <c r="L29" s="19"/>
      <c r="M29" s="19"/>
      <c r="N29" s="19"/>
      <c r="O29" s="19"/>
      <c r="P29" s="19"/>
      <c r="Q29" s="19"/>
      <c r="R29" s="19"/>
      <c r="S29" s="19"/>
      <c r="T29" s="19"/>
      <c r="U29" s="19"/>
    </row>
    <row r="30" spans="1:21" ht="226.9" customHeight="1" x14ac:dyDescent="0.45">
      <c r="A30" s="45" t="str">
        <f>Arbejdsark!$A$78</f>
        <v>Forurening</v>
      </c>
      <c r="B30" s="43" t="str">
        <f>Arbejdsark!$B$78</f>
        <v>6.1</v>
      </c>
      <c r="C30" s="45" t="str">
        <f>IF('Sortering af spørgsmål'!C11=Projektforudsætninger!$C$26,Arbejdsark!C78,"")</f>
        <v/>
      </c>
      <c r="D30" s="46">
        <f>Arbejdsark!D29</f>
        <v>0</v>
      </c>
      <c r="E30" s="45">
        <f>Arbejdsark!I29</f>
        <v>0</v>
      </c>
      <c r="F30" s="45">
        <f>Arbejdsark!J29</f>
        <v>0</v>
      </c>
      <c r="G30" s="45" t="e">
        <f>Arbejdsark!#REF!</f>
        <v>#REF!</v>
      </c>
      <c r="H30" s="45" t="e">
        <f>Arbejdsark!#REF!</f>
        <v>#REF!</v>
      </c>
      <c r="I30" s="45" t="str">
        <f>IF('Sortering af spørgsmål'!$C$11=Projektforudsætninger!$C$26,Arbejdsark!K78,"")</f>
        <v/>
      </c>
      <c r="J30" s="41" t="s">
        <v>9</v>
      </c>
      <c r="K30" s="41"/>
      <c r="L30" s="19"/>
      <c r="M30" s="19"/>
      <c r="N30" s="19"/>
      <c r="O30" s="19"/>
      <c r="P30" s="19"/>
      <c r="Q30" s="19"/>
      <c r="R30" s="19"/>
      <c r="S30" s="19"/>
      <c r="T30" s="19"/>
      <c r="U30" s="19"/>
    </row>
    <row r="31" spans="1:21" ht="198.4" customHeight="1" x14ac:dyDescent="0.45">
      <c r="A31" s="45" t="str">
        <f>Arbejdsark!$A$78</f>
        <v>Forurening</v>
      </c>
      <c r="B31" s="43" t="str">
        <f>Arbejdsark!$B$84</f>
        <v>6.2</v>
      </c>
      <c r="C31" s="45" t="str">
        <f>IF('Sortering af spørgsmål'!C11=Projektforudsætninger!$C$26,Arbejdsark!C84,"")</f>
        <v/>
      </c>
      <c r="D31" s="46">
        <f>Arbejdsark!D31</f>
        <v>0</v>
      </c>
      <c r="E31" s="45">
        <f>Arbejdsark!I31</f>
        <v>0</v>
      </c>
      <c r="F31" s="45">
        <f>Arbejdsark!J31</f>
        <v>0</v>
      </c>
      <c r="G31" s="45" t="e">
        <f>Arbejdsark!#REF!</f>
        <v>#REF!</v>
      </c>
      <c r="H31" s="45" t="e">
        <f>Arbejdsark!#REF!</f>
        <v>#REF!</v>
      </c>
      <c r="I31" s="45" t="str">
        <f>IF('Sortering af spørgsmål'!$C$11=Projektforudsætninger!$C$26,Arbejdsark!K84,"")</f>
        <v/>
      </c>
      <c r="J31" s="41" t="s">
        <v>9</v>
      </c>
      <c r="K31" s="41"/>
      <c r="L31" s="19"/>
      <c r="M31" s="19"/>
      <c r="N31" s="19"/>
      <c r="O31" s="19"/>
      <c r="P31" s="19"/>
      <c r="Q31" s="19"/>
      <c r="R31" s="19"/>
      <c r="S31" s="19"/>
      <c r="T31" s="19"/>
      <c r="U31" s="19"/>
    </row>
    <row r="32" spans="1:21" x14ac:dyDescent="0.45">
      <c r="A32" s="45"/>
      <c r="B32" s="45"/>
      <c r="C32" s="45"/>
      <c r="D32" s="46"/>
      <c r="E32" s="45"/>
      <c r="F32" s="45"/>
      <c r="G32" s="45"/>
      <c r="H32" s="45"/>
      <c r="I32" s="45"/>
      <c r="J32" s="47"/>
      <c r="K32" s="47"/>
      <c r="L32" s="19"/>
      <c r="M32" s="19"/>
      <c r="N32" s="19"/>
      <c r="O32" s="19"/>
      <c r="P32" s="19"/>
      <c r="Q32" s="19"/>
      <c r="R32" s="19"/>
      <c r="S32" s="19"/>
      <c r="T32" s="19"/>
      <c r="U32" s="19"/>
    </row>
    <row r="33" spans="1:30" ht="28.5" customHeight="1" x14ac:dyDescent="0.45">
      <c r="A33" s="66" t="str">
        <f>Arbejdsark!$A$89</f>
        <v>ØKONOMISK  KVALITET</v>
      </c>
      <c r="B33" s="36"/>
      <c r="C33" s="66"/>
      <c r="D33" s="66"/>
      <c r="E33" s="66"/>
      <c r="F33" s="66"/>
      <c r="G33" s="66"/>
      <c r="H33" s="66"/>
      <c r="I33" s="36"/>
      <c r="J33" s="39"/>
      <c r="K33" s="39"/>
      <c r="L33" s="19"/>
      <c r="M33" s="19"/>
      <c r="N33" s="19"/>
      <c r="O33" s="19"/>
      <c r="P33" s="19"/>
      <c r="Q33" s="19"/>
      <c r="R33" s="19"/>
      <c r="S33" s="19"/>
      <c r="T33" s="19"/>
      <c r="U33" s="19"/>
    </row>
    <row r="34" spans="1:30" ht="28.5" customHeight="1" x14ac:dyDescent="0.45">
      <c r="A34" s="58" t="str">
        <f>$A$4</f>
        <v>Tema</v>
      </c>
      <c r="B34" s="58" t="s">
        <v>179</v>
      </c>
      <c r="C34" s="58" t="str">
        <f>$C$4</f>
        <v>Emne</v>
      </c>
      <c r="D34" s="58" t="str">
        <f>D4</f>
        <v>DGNB kriterium</v>
      </c>
      <c r="E34" s="58" t="str">
        <f>E4</f>
        <v>Byggeudvalg eller Hovedbestyrelse</v>
      </c>
      <c r="F34" s="58" t="str">
        <f>F4</f>
        <v>Projektleder</v>
      </c>
      <c r="G34" s="58" t="str">
        <f>G4</f>
        <v>#REFERENCE!</v>
      </c>
      <c r="H34" s="58" t="str">
        <f>H4</f>
        <v>Ikon</v>
      </c>
      <c r="I34" s="58" t="str">
        <f>$I$4</f>
        <v>Spørgsmål</v>
      </c>
      <c r="J34" s="59" t="str">
        <f>$J$4</f>
        <v>Svar</v>
      </c>
      <c r="K34" s="59" t="str">
        <f>$K$4</f>
        <v>Uddybende kommentarer</v>
      </c>
      <c r="L34" s="19"/>
      <c r="M34" s="19"/>
      <c r="N34" s="19"/>
      <c r="O34" s="19"/>
      <c r="P34" s="19"/>
      <c r="Q34" s="19"/>
      <c r="R34" s="19"/>
      <c r="S34" s="19"/>
      <c r="T34" s="19"/>
      <c r="U34" s="19"/>
      <c r="AD34" s="294" t="s">
        <v>24</v>
      </c>
    </row>
    <row r="35" spans="1:30" ht="28.5" customHeight="1" x14ac:dyDescent="0.45">
      <c r="A35" s="66" t="str">
        <f>Arbejdsark!$A$91</f>
        <v>Levetidsomkostninger</v>
      </c>
      <c r="B35" s="36">
        <v>1</v>
      </c>
      <c r="C35" s="66"/>
      <c r="D35" s="66"/>
      <c r="E35" s="66"/>
      <c r="F35" s="66"/>
      <c r="G35" s="66"/>
      <c r="H35" s="66"/>
      <c r="I35" s="36" t="str">
        <f>IF('Sortering af spørgsmål'!$C$12=Projektforudsætninger!$C$26,"Udfyld spørgsmål","Ingen spørgsmål")</f>
        <v>Ingen spørgsmål</v>
      </c>
      <c r="J35" s="39"/>
      <c r="K35" s="39"/>
      <c r="L35" s="19"/>
      <c r="M35" s="19"/>
      <c r="N35" s="19"/>
      <c r="O35" s="19"/>
      <c r="P35" s="19"/>
      <c r="Q35" s="19"/>
      <c r="R35" s="19"/>
      <c r="S35" s="19"/>
      <c r="T35" s="19"/>
      <c r="U35" s="19"/>
      <c r="AD35" s="294" t="s">
        <v>26</v>
      </c>
    </row>
    <row r="36" spans="1:30" ht="170.25" customHeight="1" x14ac:dyDescent="0.45">
      <c r="A36" s="45" t="str">
        <f>Arbejdsark!$A$91</f>
        <v>Levetidsomkostninger</v>
      </c>
      <c r="B36" s="43" t="str">
        <f>Arbejdsark!$B$91</f>
        <v>1.1</v>
      </c>
      <c r="C36" s="45" t="str">
        <f>IF('Sortering af spørgsmål'!C12=Projektforudsætninger!$C$26,Arbejdsark!C91,"")</f>
        <v/>
      </c>
      <c r="D36" s="46" t="str">
        <f>Arbejdsark!D35</f>
        <v>ENV2.2
Vægtning: 20% af ENV2.2</v>
      </c>
      <c r="E36" s="45" t="str">
        <f>Arbejdsark!I35</f>
        <v>x</v>
      </c>
      <c r="F36" s="45">
        <f>Arbejdsark!J35</f>
        <v>0</v>
      </c>
      <c r="G36" s="45" t="e">
        <f>Arbejdsark!#REF!</f>
        <v>#REF!</v>
      </c>
      <c r="H36" s="45" t="e">
        <f>Arbejdsark!#REF!</f>
        <v>#REF!</v>
      </c>
      <c r="I36" s="45" t="str">
        <f>IF('Sortering af spørgsmål'!C12=Projektforudsætninger!$C$26,Arbejdsark!K91,"")</f>
        <v/>
      </c>
      <c r="J36" s="41" t="s">
        <v>9</v>
      </c>
      <c r="K36" s="41"/>
      <c r="L36" s="19"/>
      <c r="M36" s="19"/>
      <c r="N36" s="19"/>
      <c r="O36" s="19"/>
      <c r="P36" s="19"/>
      <c r="Q36" s="19"/>
      <c r="R36" s="19"/>
      <c r="S36" s="19"/>
      <c r="T36" s="19"/>
      <c r="U36" s="19"/>
      <c r="AD36" s="294" t="s">
        <v>28</v>
      </c>
    </row>
    <row r="37" spans="1:30" ht="70.900000000000006" customHeight="1" x14ac:dyDescent="0.45">
      <c r="A37" s="45" t="str">
        <f>Arbejdsark!$A$91</f>
        <v>Levetidsomkostninger</v>
      </c>
      <c r="B37" s="43" t="str">
        <f>Arbejdsark!$B$109</f>
        <v>1.2</v>
      </c>
      <c r="C37" s="45" t="str">
        <f>IF('Sortering af spørgsmål'!C12=Projektforudsætninger!$C$26,Arbejdsark!C109,"")</f>
        <v/>
      </c>
      <c r="D37" s="46">
        <f>Arbejdsark!D37</f>
        <v>0</v>
      </c>
      <c r="E37" s="45">
        <f>Arbejdsark!I37</f>
        <v>0</v>
      </c>
      <c r="F37" s="45">
        <f>Arbejdsark!J37</f>
        <v>0</v>
      </c>
      <c r="G37" s="45" t="e">
        <f>Arbejdsark!#REF!</f>
        <v>#REF!</v>
      </c>
      <c r="H37" s="45" t="e">
        <f>Arbejdsark!#REF!</f>
        <v>#REF!</v>
      </c>
      <c r="I37" s="45" t="str">
        <f>IF('Sortering af spørgsmål'!C12=Projektforudsætninger!$C$26,Arbejdsark!K109,"")</f>
        <v/>
      </c>
      <c r="J37" s="41" t="s">
        <v>9</v>
      </c>
      <c r="K37" s="41"/>
      <c r="L37" s="19"/>
      <c r="M37" s="19"/>
      <c r="N37" s="19"/>
      <c r="O37" s="19"/>
      <c r="P37" s="19"/>
      <c r="Q37" s="19"/>
      <c r="R37" s="19"/>
      <c r="S37" s="19"/>
      <c r="T37" s="19"/>
      <c r="U37" s="19"/>
      <c r="AD37" s="294" t="s">
        <v>31</v>
      </c>
    </row>
    <row r="38" spans="1:30" ht="23.25" x14ac:dyDescent="0.45">
      <c r="A38" s="45"/>
      <c r="B38" s="45"/>
      <c r="C38" s="45"/>
      <c r="D38" s="46"/>
      <c r="E38" s="45"/>
      <c r="F38" s="45"/>
      <c r="G38" s="45"/>
      <c r="H38" s="45"/>
      <c r="I38" s="45"/>
      <c r="J38" s="47"/>
      <c r="K38" s="47"/>
      <c r="L38" s="19"/>
      <c r="M38" s="19"/>
      <c r="N38" s="19"/>
      <c r="O38" s="19"/>
      <c r="P38" s="19"/>
      <c r="Q38" s="19"/>
      <c r="R38" s="19"/>
      <c r="S38" s="19"/>
      <c r="T38" s="19"/>
      <c r="U38" s="19"/>
      <c r="AD38" s="294" t="s">
        <v>33</v>
      </c>
    </row>
    <row r="39" spans="1:30" ht="28.5" customHeight="1" x14ac:dyDescent="0.45">
      <c r="A39" s="66" t="str">
        <f>Arbejdsark!$A$114</f>
        <v>Fleksibilitet</v>
      </c>
      <c r="B39" s="36" t="str">
        <f>Arbejdsark!$B$114</f>
        <v>2.1</v>
      </c>
      <c r="C39" s="66"/>
      <c r="D39" s="66"/>
      <c r="E39" s="66"/>
      <c r="F39" s="66"/>
      <c r="G39" s="66"/>
      <c r="H39" s="66"/>
      <c r="I39" s="36" t="str">
        <f>IF('Sortering af spørgsmål'!$C$13=Projektforudsætninger!$C$26,"Udfyld spørgsmål","Ingen spørgsmål")</f>
        <v>Ingen spørgsmål</v>
      </c>
      <c r="J39" s="39"/>
      <c r="K39" s="39"/>
      <c r="L39" s="19"/>
      <c r="M39" s="19"/>
      <c r="N39" s="19"/>
      <c r="O39" s="19"/>
      <c r="P39" s="19"/>
      <c r="Q39" s="19"/>
      <c r="R39" s="19"/>
      <c r="S39" s="19"/>
      <c r="T39" s="19"/>
      <c r="U39" s="19"/>
      <c r="AD39" s="294" t="s">
        <v>35</v>
      </c>
    </row>
    <row r="40" spans="1:30" ht="170.25" customHeight="1" x14ac:dyDescent="0.45">
      <c r="A40" s="45" t="str">
        <f>Arbejdsark!$A$114</f>
        <v>Fleksibilitet</v>
      </c>
      <c r="B40" s="43" t="str">
        <f>Arbejdsark!$B$114</f>
        <v>2.1</v>
      </c>
      <c r="C40" s="45" t="str">
        <f>IF('Sortering af spørgsmål'!C13=Projektforudsætninger!$C$26,Arbejdsark!C114,"")</f>
        <v/>
      </c>
      <c r="D40" s="46">
        <f>Arbejdsark!D39</f>
        <v>0</v>
      </c>
      <c r="E40" s="45">
        <f>Arbejdsark!I39</f>
        <v>0</v>
      </c>
      <c r="F40" s="45">
        <f>Arbejdsark!J39</f>
        <v>0</v>
      </c>
      <c r="G40" s="45" t="e">
        <f>Arbejdsark!#REF!</f>
        <v>#REF!</v>
      </c>
      <c r="H40" s="45" t="e">
        <f>Arbejdsark!#REF!</f>
        <v>#REF!</v>
      </c>
      <c r="I40" s="45" t="str">
        <f>IF('Sortering af spørgsmål'!$C$13=Projektforudsætninger!$C$26,Arbejdsark!K114,"")</f>
        <v/>
      </c>
      <c r="J40" s="41" t="s">
        <v>9</v>
      </c>
      <c r="K40" s="41"/>
      <c r="L40" s="19"/>
      <c r="M40" s="19"/>
      <c r="N40" s="19"/>
      <c r="O40" s="19"/>
      <c r="P40" s="19"/>
      <c r="Q40" s="19"/>
      <c r="R40" s="19"/>
      <c r="S40" s="19"/>
      <c r="T40" s="19"/>
      <c r="U40" s="19"/>
      <c r="AD40" s="294" t="s">
        <v>37</v>
      </c>
    </row>
    <row r="41" spans="1:30" ht="198.4" customHeight="1" x14ac:dyDescent="0.45">
      <c r="A41" s="45" t="str">
        <f>Arbejdsark!$A$114</f>
        <v>Fleksibilitet</v>
      </c>
      <c r="B41" s="43" t="str">
        <f>Arbejdsark!$B$119</f>
        <v>2.2</v>
      </c>
      <c r="C41" s="45" t="str">
        <f>IF('Sortering af spørgsmål'!C13=Projektforudsætninger!$C$26,Arbejdsark!C119,"")</f>
        <v/>
      </c>
      <c r="D41" s="46" t="str">
        <f>Arbejdsark!D40</f>
        <v>ENV2.2
Vægtning: 20% af ENV2.2</v>
      </c>
      <c r="E41" s="45" t="str">
        <f>Arbejdsark!I40</f>
        <v>x</v>
      </c>
      <c r="F41" s="45">
        <f>Arbejdsark!J40</f>
        <v>0</v>
      </c>
      <c r="G41" s="45" t="e">
        <f>Arbejdsark!#REF!</f>
        <v>#REF!</v>
      </c>
      <c r="H41" s="45" t="e">
        <f>Arbejdsark!#REF!</f>
        <v>#REF!</v>
      </c>
      <c r="I41" s="45" t="str">
        <f>IF('Sortering af spørgsmål'!$C$13=Projektforudsætninger!$C$26,Arbejdsark!K119,"")</f>
        <v/>
      </c>
      <c r="J41" s="41" t="s">
        <v>9</v>
      </c>
      <c r="K41" s="41"/>
      <c r="L41" s="19"/>
      <c r="M41" s="19"/>
      <c r="N41" s="19"/>
      <c r="O41" s="19"/>
      <c r="P41" s="19"/>
      <c r="Q41" s="19"/>
      <c r="R41" s="19"/>
      <c r="S41" s="19"/>
      <c r="T41" s="19"/>
      <c r="U41" s="19"/>
      <c r="AD41" s="294" t="s">
        <v>42</v>
      </c>
    </row>
    <row r="42" spans="1:30" ht="198.4" customHeight="1" x14ac:dyDescent="0.45">
      <c r="A42" s="45" t="str">
        <f>Arbejdsark!$A$114</f>
        <v>Fleksibilitet</v>
      </c>
      <c r="B42" s="43" t="str">
        <f>Arbejdsark!$B$124</f>
        <v>2.3</v>
      </c>
      <c r="C42" s="45" t="str">
        <f>IF('Sortering af spørgsmål'!C13=Projektforudsætninger!$C$26,Arbejdsark!C124,"")</f>
        <v/>
      </c>
      <c r="D42" s="46">
        <f>Arbejdsark!D41</f>
        <v>0</v>
      </c>
      <c r="E42" s="45">
        <f>Arbejdsark!I41</f>
        <v>0</v>
      </c>
      <c r="F42" s="45">
        <f>Arbejdsark!J41</f>
        <v>0</v>
      </c>
      <c r="G42" s="45" t="e">
        <f>Arbejdsark!#REF!</f>
        <v>#REF!</v>
      </c>
      <c r="H42" s="45" t="e">
        <f>Arbejdsark!#REF!</f>
        <v>#REF!</v>
      </c>
      <c r="I42" s="45" t="str">
        <f>IF('Sortering af spørgsmål'!C13=Projektforudsætninger!$C$26,Arbejdsark!K124,"")</f>
        <v/>
      </c>
      <c r="J42" s="41" t="s">
        <v>9</v>
      </c>
      <c r="K42" s="41"/>
      <c r="L42" s="19"/>
      <c r="M42" s="19"/>
      <c r="N42" s="19"/>
      <c r="O42" s="19"/>
      <c r="P42" s="19"/>
      <c r="Q42" s="19"/>
      <c r="R42" s="19"/>
      <c r="S42" s="19"/>
      <c r="T42" s="19"/>
      <c r="U42" s="19"/>
      <c r="AD42" s="294" t="s">
        <v>45</v>
      </c>
    </row>
    <row r="43" spans="1:30" ht="255.4" customHeight="1" x14ac:dyDescent="0.45">
      <c r="A43" s="45" t="str">
        <f>Arbejdsark!$A$114</f>
        <v>Fleksibilitet</v>
      </c>
      <c r="B43" s="43" t="str">
        <f>Arbejdsark!$B$129</f>
        <v>2.4</v>
      </c>
      <c r="C43" s="45" t="str">
        <f>IF('Sortering af spørgsmål'!C13=Projektforudsætninger!$C$26,Arbejdsark!C129,"")</f>
        <v/>
      </c>
      <c r="D43" s="46">
        <f>Arbejdsark!D42</f>
        <v>0</v>
      </c>
      <c r="E43" s="45">
        <f>Arbejdsark!I42</f>
        <v>0</v>
      </c>
      <c r="F43" s="45">
        <f>Arbejdsark!J42</f>
        <v>0</v>
      </c>
      <c r="G43" s="45" t="e">
        <f>Arbejdsark!#REF!</f>
        <v>#REF!</v>
      </c>
      <c r="H43" s="45" t="e">
        <f>Arbejdsark!#REF!</f>
        <v>#REF!</v>
      </c>
      <c r="I43" s="45" t="str">
        <f>IF('Sortering af spørgsmål'!C13=Projektforudsætninger!$C$26,Arbejdsark!K129,"")</f>
        <v/>
      </c>
      <c r="J43" s="41" t="s">
        <v>9</v>
      </c>
      <c r="K43" s="41"/>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spørgsmål'!C13=Projektforudsætninger!$C$26,Arbejdsark!C134,"")</f>
        <v/>
      </c>
      <c r="D44" s="46">
        <f>Arbejdsark!D43</f>
        <v>0</v>
      </c>
      <c r="E44" s="45">
        <f>Arbejdsark!I43</f>
        <v>0</v>
      </c>
      <c r="F44" s="45">
        <f>Arbejdsark!J43</f>
        <v>0</v>
      </c>
      <c r="G44" s="45" t="e">
        <f>Arbejdsark!#REF!</f>
        <v>#REF!</v>
      </c>
      <c r="H44" s="45" t="e">
        <f>Arbejdsark!#REF!</f>
        <v>#REF!</v>
      </c>
      <c r="I44" s="45" t="str">
        <f>IF('Sortering af spørgsmål'!C13=Projektforudsætninger!$C$26,Arbejdsark!K134,"")</f>
        <v/>
      </c>
      <c r="J44" s="41" t="s">
        <v>9</v>
      </c>
      <c r="K44" s="41"/>
      <c r="L44" s="19"/>
      <c r="M44" s="19"/>
      <c r="N44" s="19"/>
      <c r="O44" s="19"/>
      <c r="P44" s="19"/>
      <c r="Q44" s="19"/>
      <c r="R44" s="19"/>
      <c r="S44" s="19"/>
      <c r="T44" s="19"/>
      <c r="U44" s="19"/>
    </row>
    <row r="45" spans="1:30" ht="141.75" customHeight="1" x14ac:dyDescent="0.45">
      <c r="A45" s="45" t="str">
        <f>Arbejdsark!$A$114</f>
        <v>Fleksibilitet</v>
      </c>
      <c r="B45" s="43" t="str">
        <f>Arbejdsark!$B$139</f>
        <v>2.6</v>
      </c>
      <c r="C45" s="45" t="str">
        <f>IF('Sortering af spørgsmål'!C13=Projektforudsætninger!$C$26,Arbejdsark!C139,"")</f>
        <v/>
      </c>
      <c r="D45" s="46">
        <f>Arbejdsark!D44</f>
        <v>0</v>
      </c>
      <c r="E45" s="45">
        <f>Arbejdsark!I44</f>
        <v>0</v>
      </c>
      <c r="F45" s="45">
        <f>Arbejdsark!J44</f>
        <v>0</v>
      </c>
      <c r="G45" s="45" t="e">
        <f>Arbejdsark!#REF!</f>
        <v>#REF!</v>
      </c>
      <c r="H45" s="45" t="e">
        <f>Arbejdsark!#REF!</f>
        <v>#REF!</v>
      </c>
      <c r="I45" s="45" t="str">
        <f>IF('Sortering af spørgsmål'!C13=Projektforudsætninger!$C$26,Arbejdsark!K139,"")</f>
        <v/>
      </c>
      <c r="J45" s="41" t="s">
        <v>9</v>
      </c>
      <c r="K45" s="41"/>
      <c r="L45" s="19"/>
      <c r="M45" s="19"/>
      <c r="N45" s="19"/>
      <c r="O45" s="19"/>
      <c r="P45" s="19"/>
      <c r="Q45" s="19"/>
      <c r="R45" s="19"/>
      <c r="S45" s="19"/>
      <c r="T45" s="19"/>
      <c r="U45" s="19"/>
    </row>
    <row r="46" spans="1:30" ht="198.4" customHeight="1" x14ac:dyDescent="0.45">
      <c r="A46" s="45" t="str">
        <f>Arbejdsark!$A$114</f>
        <v>Fleksibilitet</v>
      </c>
      <c r="B46" s="43" t="str">
        <f>Arbejdsark!$B$144</f>
        <v>2.7</v>
      </c>
      <c r="C46" s="45" t="str">
        <f>IF('Sortering af spørgsmål'!C13=Projektforudsætninger!$C$26,Arbejdsark!C144,"")</f>
        <v/>
      </c>
      <c r="D46" s="46"/>
      <c r="E46" s="45"/>
      <c r="F46" s="45"/>
      <c r="G46" s="45"/>
      <c r="H46" s="45"/>
      <c r="I46" s="45" t="str">
        <f>IF('Sortering af spørgsmål'!C13=Projektforudsætninger!$C$26,Arbejdsark!K144,"")</f>
        <v/>
      </c>
      <c r="J46" s="41" t="s">
        <v>9</v>
      </c>
      <c r="K46" s="41"/>
      <c r="L46" s="19"/>
      <c r="M46" s="19"/>
      <c r="N46" s="19"/>
      <c r="O46" s="19"/>
      <c r="P46" s="19"/>
      <c r="Q46" s="19"/>
      <c r="R46" s="19"/>
      <c r="S46" s="19"/>
      <c r="T46" s="19"/>
      <c r="U46" s="19"/>
    </row>
    <row r="47" spans="1:30" ht="170.25" customHeight="1" x14ac:dyDescent="0.45">
      <c r="A47" s="45" t="str">
        <f>Arbejdsark!$A$114</f>
        <v>Fleksibilitet</v>
      </c>
      <c r="B47" s="43" t="str">
        <f>Arbejdsark!$B$149</f>
        <v>2.8</v>
      </c>
      <c r="C47" s="45" t="str">
        <f>IF('Sortering af spørgsmål'!C13=Projektforudsætninger!$C$26,Arbejdsark!C149,"")</f>
        <v/>
      </c>
      <c r="D47" s="46" t="str">
        <f>Arbejdsark!D45</f>
        <v>ENV2.2
Vægtning: 60% af ENV2.2</v>
      </c>
      <c r="E47" s="45" t="str">
        <f>Arbejdsark!I45</f>
        <v>x</v>
      </c>
      <c r="F47" s="45">
        <f>Arbejdsark!J45</f>
        <v>0</v>
      </c>
      <c r="G47" s="45" t="e">
        <f>Arbejdsark!#REF!</f>
        <v>#REF!</v>
      </c>
      <c r="H47" s="45" t="e">
        <f>Arbejdsark!#REF!</f>
        <v>#REF!</v>
      </c>
      <c r="I47" s="45" t="str">
        <f>IF('Sortering af spørgsmål'!C13=Projektforudsætninger!$C$26,Arbejdsark!K149,"")</f>
        <v/>
      </c>
      <c r="J47" s="41" t="s">
        <v>9</v>
      </c>
      <c r="K47" s="41"/>
      <c r="L47" s="19"/>
      <c r="M47" s="19"/>
      <c r="N47" s="19"/>
      <c r="O47" s="19"/>
      <c r="P47" s="19"/>
      <c r="Q47" s="19"/>
      <c r="R47" s="19"/>
      <c r="S47" s="19"/>
      <c r="T47" s="19"/>
      <c r="U47" s="19"/>
    </row>
    <row r="48" spans="1:30" x14ac:dyDescent="0.45">
      <c r="A48" s="45"/>
      <c r="B48" s="45"/>
      <c r="C48" s="45"/>
      <c r="D48" s="46"/>
      <c r="E48" s="45"/>
      <c r="F48" s="45"/>
      <c r="G48" s="45"/>
      <c r="H48" s="45"/>
      <c r="I48" s="45"/>
      <c r="J48" s="47"/>
      <c r="K48" s="47"/>
      <c r="L48" s="19"/>
      <c r="M48" s="19"/>
      <c r="N48" s="19"/>
      <c r="O48" s="19"/>
      <c r="P48" s="19"/>
      <c r="Q48" s="19"/>
      <c r="R48" s="19"/>
      <c r="S48" s="19"/>
      <c r="T48" s="19"/>
      <c r="U48" s="19"/>
    </row>
    <row r="49" spans="1:21" ht="28.5" customHeight="1" x14ac:dyDescent="0.45">
      <c r="A49" s="66" t="str">
        <f>Arbejdsark!$A$154</f>
        <v>Robusthed</v>
      </c>
      <c r="B49" s="36">
        <v>3</v>
      </c>
      <c r="C49" s="66"/>
      <c r="D49" s="66"/>
      <c r="E49" s="66"/>
      <c r="F49" s="66"/>
      <c r="G49" s="66"/>
      <c r="H49" s="66"/>
      <c r="I49" s="36" t="str">
        <f>IF('Sortering af spørgsmål'!$C$14=Projektforudsætninger!$C$26,"Udfyld spørgsmål","Ingen spørgsmål")</f>
        <v>Ingen spørgsmål</v>
      </c>
      <c r="J49" s="39"/>
      <c r="K49" s="39"/>
      <c r="L49" s="19"/>
      <c r="M49" s="19"/>
      <c r="N49" s="19"/>
      <c r="O49" s="19"/>
      <c r="P49" s="19"/>
      <c r="Q49" s="19"/>
      <c r="R49" s="19"/>
      <c r="S49" s="19"/>
      <c r="T49" s="19"/>
      <c r="U49" s="19"/>
    </row>
    <row r="50" spans="1:21" ht="70.900000000000006" customHeight="1" x14ac:dyDescent="0.45">
      <c r="A50" s="45" t="str">
        <f>Arbejdsark!$A$154</f>
        <v>Robusthed</v>
      </c>
      <c r="B50" s="43" t="str">
        <f>Arbejdsark!$B$154</f>
        <v>3.1</v>
      </c>
      <c r="C50" s="45" t="str">
        <f>IF('Sortering af spørgsmål'!$C$14=Projektforudsætninger!$C$26,Arbejdsark!C154,"")</f>
        <v/>
      </c>
      <c r="D50" s="46">
        <f>Arbejdsark!D47</f>
        <v>0</v>
      </c>
      <c r="E50" s="45">
        <f>Arbejdsark!I47</f>
        <v>0</v>
      </c>
      <c r="F50" s="45">
        <f>Arbejdsark!J47</f>
        <v>0</v>
      </c>
      <c r="G50" s="45" t="e">
        <f>Arbejdsark!#REF!</f>
        <v>#REF!</v>
      </c>
      <c r="H50" s="45" t="e">
        <f>Arbejdsark!#REF!</f>
        <v>#REF!</v>
      </c>
      <c r="I50" s="45" t="str">
        <f>IF('Sortering af spørgsmål'!$C$14=Projektforudsætninger!$C$26,Arbejdsark!K154,"")</f>
        <v/>
      </c>
      <c r="J50" s="41" t="s">
        <v>9</v>
      </c>
      <c r="K50" s="41"/>
      <c r="L50" s="19"/>
      <c r="M50" s="19"/>
      <c r="N50" s="19"/>
      <c r="O50" s="19"/>
      <c r="P50" s="19"/>
      <c r="Q50" s="19"/>
      <c r="R50" s="19"/>
      <c r="S50" s="19"/>
      <c r="T50" s="19"/>
      <c r="U50" s="19"/>
    </row>
    <row r="51" spans="1:21" ht="70.900000000000006" customHeight="1" x14ac:dyDescent="0.45">
      <c r="A51" s="45" t="str">
        <f>Arbejdsark!$A$154</f>
        <v>Robusthed</v>
      </c>
      <c r="B51" s="43" t="str">
        <f>Arbejdsark!$B$159</f>
        <v>3.2</v>
      </c>
      <c r="C51" s="45" t="str">
        <f>IF('Sortering af spørgsmål'!$C$14=Projektforudsætninger!$C$26,Arbejdsark!C159,"")</f>
        <v/>
      </c>
      <c r="D51" s="46">
        <f>Arbejdsark!D50</f>
        <v>0</v>
      </c>
      <c r="E51" s="45">
        <f>Arbejdsark!I50</f>
        <v>0</v>
      </c>
      <c r="F51" s="45">
        <f>Arbejdsark!J50</f>
        <v>0</v>
      </c>
      <c r="G51" s="45" t="e">
        <f>Arbejdsark!#REF!</f>
        <v>#REF!</v>
      </c>
      <c r="H51" s="45" t="e">
        <f>Arbejdsark!#REF!</f>
        <v>#REF!</v>
      </c>
      <c r="I51" s="45" t="str">
        <f>IF('Sortering af spørgsmål'!$C$14=Projektforudsætninger!$C$26,Arbejdsark!K159,"")</f>
        <v/>
      </c>
      <c r="J51" s="41" t="s">
        <v>9</v>
      </c>
      <c r="K51" s="41"/>
      <c r="L51" s="19"/>
      <c r="M51" s="19"/>
      <c r="N51" s="19"/>
      <c r="O51" s="19"/>
      <c r="P51" s="19"/>
      <c r="Q51" s="19"/>
      <c r="R51" s="19"/>
      <c r="S51" s="19"/>
      <c r="T51" s="19"/>
      <c r="U51" s="19"/>
    </row>
    <row r="52" spans="1:21" x14ac:dyDescent="0.45">
      <c r="A52" s="45"/>
      <c r="B52" s="45"/>
      <c r="C52" s="45"/>
      <c r="D52" s="46"/>
      <c r="E52" s="45"/>
      <c r="F52" s="45"/>
      <c r="G52" s="45"/>
      <c r="H52" s="45"/>
      <c r="I52" s="45"/>
      <c r="J52" s="47"/>
      <c r="K52" s="47"/>
      <c r="L52" s="19"/>
      <c r="M52" s="19"/>
      <c r="N52" s="19"/>
      <c r="O52" s="19"/>
      <c r="P52" s="19"/>
      <c r="Q52" s="19"/>
      <c r="R52" s="19"/>
      <c r="S52" s="19"/>
      <c r="T52" s="19"/>
      <c r="U52" s="19"/>
    </row>
    <row r="53" spans="1:21" ht="28.5" customHeight="1" x14ac:dyDescent="0.45">
      <c r="A53" s="56" t="str">
        <f>Arbejdsark!$A$165</f>
        <v>SOCIAL KVALITET</v>
      </c>
      <c r="B53" s="56"/>
      <c r="C53" s="56"/>
      <c r="D53" s="56"/>
      <c r="E53" s="56"/>
      <c r="F53" s="56"/>
      <c r="G53" s="56"/>
      <c r="H53" s="56"/>
      <c r="I53" s="57"/>
      <c r="J53" s="54"/>
      <c r="K53" s="54"/>
      <c r="L53" s="19"/>
      <c r="M53" s="19"/>
      <c r="N53" s="19"/>
      <c r="O53" s="19"/>
      <c r="P53" s="19"/>
      <c r="Q53" s="19"/>
      <c r="R53" s="19"/>
      <c r="S53" s="19"/>
      <c r="T53" s="19"/>
      <c r="U53" s="19"/>
    </row>
    <row r="54" spans="1:21" ht="28.5" customHeight="1" x14ac:dyDescent="0.45">
      <c r="A54" s="58" t="str">
        <f>$A$4</f>
        <v>Tema</v>
      </c>
      <c r="B54" s="58" t="s">
        <v>179</v>
      </c>
      <c r="C54" s="58" t="str">
        <f t="shared" ref="C54:I54" si="0">C4</f>
        <v>Emne</v>
      </c>
      <c r="D54" s="58" t="str">
        <f t="shared" si="0"/>
        <v>DGNB kriterium</v>
      </c>
      <c r="E54" s="58" t="str">
        <f t="shared" si="0"/>
        <v>Byggeudvalg eller Hovedbestyrelse</v>
      </c>
      <c r="F54" s="58" t="str">
        <f t="shared" si="0"/>
        <v>Projektleder</v>
      </c>
      <c r="G54" s="58" t="str">
        <f t="shared" si="0"/>
        <v>#REFERENCE!</v>
      </c>
      <c r="H54" s="58" t="str">
        <f t="shared" si="0"/>
        <v>Ikon</v>
      </c>
      <c r="I54" s="58" t="str">
        <f t="shared" si="0"/>
        <v>Spørgsmål</v>
      </c>
      <c r="J54" s="59" t="str">
        <f>$J$4</f>
        <v>Svar</v>
      </c>
      <c r="K54" s="59" t="str">
        <f>K4</f>
        <v>Uddybende kommentarer</v>
      </c>
      <c r="L54" s="19"/>
      <c r="M54" s="19"/>
      <c r="N54" s="19"/>
      <c r="O54" s="19"/>
      <c r="P54" s="19"/>
      <c r="Q54" s="19"/>
      <c r="R54" s="19"/>
      <c r="S54" s="19"/>
      <c r="T54" s="19"/>
      <c r="U54" s="19"/>
    </row>
    <row r="55" spans="1:21" ht="28.5" customHeight="1" x14ac:dyDescent="0.45">
      <c r="A55" s="56" t="str">
        <f>Arbejdsark!$A$167</f>
        <v>Indeklima</v>
      </c>
      <c r="B55" s="56">
        <v>1</v>
      </c>
      <c r="C55" s="56"/>
      <c r="D55" s="56"/>
      <c r="E55" s="56"/>
      <c r="F55" s="56"/>
      <c r="G55" s="56"/>
      <c r="H55" s="56"/>
      <c r="I55" s="57" t="str">
        <f>IF('Sortering af spørgsmål'!$C$15=Projektforudsætninger!$C$26,"Udfyld spørgsmål","Ingen spørgsmål")</f>
        <v>Ingen spørgsmål</v>
      </c>
      <c r="J55" s="54"/>
      <c r="K55" s="54"/>
      <c r="L55" s="19"/>
      <c r="M55" s="19"/>
      <c r="N55" s="19"/>
      <c r="O55" s="19"/>
      <c r="P55" s="19"/>
      <c r="Q55" s="19"/>
      <c r="R55" s="19"/>
      <c r="S55" s="19"/>
      <c r="T55" s="19"/>
      <c r="U55" s="19"/>
    </row>
    <row r="56" spans="1:21" ht="170.25" customHeight="1" x14ac:dyDescent="0.45">
      <c r="A56" s="45" t="str">
        <f>Arbejdsark!$A$167</f>
        <v>Indeklima</v>
      </c>
      <c r="B56" s="43" t="str">
        <f>Arbejdsark!$B$167</f>
        <v>1.1</v>
      </c>
      <c r="C56" s="45" t="str">
        <f>IF('Sortering af spørgsmål'!$C$15=Projektforudsætninger!$C$26,Arbejdsark!C167,"")</f>
        <v/>
      </c>
      <c r="D56" s="46">
        <f>Arbejdsark!D57</f>
        <v>0</v>
      </c>
      <c r="E56" s="45">
        <f>Arbejdsark!I57</f>
        <v>0</v>
      </c>
      <c r="F56" s="45">
        <f>Arbejdsark!J57</f>
        <v>0</v>
      </c>
      <c r="G56" s="45" t="e">
        <f>Arbejdsark!#REF!</f>
        <v>#REF!</v>
      </c>
      <c r="H56" s="45" t="e">
        <f>Arbejdsark!#REF!</f>
        <v>#REF!</v>
      </c>
      <c r="I56" s="45" t="str">
        <f>IF('Sortering af spørgsmål'!$C$15=Projektforudsætninger!$C$26,Arbejdsark!K167,"")</f>
        <v/>
      </c>
      <c r="J56" s="41" t="s">
        <v>9</v>
      </c>
      <c r="K56" s="41"/>
      <c r="L56" s="19"/>
      <c r="M56" s="19"/>
      <c r="N56" s="19"/>
      <c r="O56" s="19"/>
      <c r="P56" s="19"/>
      <c r="Q56" s="19"/>
      <c r="R56" s="19"/>
      <c r="S56" s="19"/>
      <c r="T56" s="19"/>
      <c r="U56" s="19"/>
    </row>
    <row r="57" spans="1:21" ht="113.65" customHeight="1" x14ac:dyDescent="0.45">
      <c r="A57" s="45" t="str">
        <f>Arbejdsark!$A$167</f>
        <v>Indeklima</v>
      </c>
      <c r="B57" s="43" t="str">
        <f>Arbejdsark!$B$172</f>
        <v>1.2</v>
      </c>
      <c r="C57" s="45" t="str">
        <f>IF('Sortering af spørgsmål'!$C$15=Projektforudsætninger!$C$26,Arbejdsark!C172,"")</f>
        <v/>
      </c>
      <c r="D57" s="46" t="str">
        <f>Arbejdsark!D58</f>
        <v>Vægtning: SOC1.6 pkt. 2.4</v>
      </c>
      <c r="E57" s="45" t="str">
        <f>Arbejdsark!I58</f>
        <v>x</v>
      </c>
      <c r="F57" s="45">
        <f>Arbejdsark!J58</f>
        <v>0</v>
      </c>
      <c r="G57" s="45" t="e">
        <f>Arbejdsark!#REF!</f>
        <v>#REF!</v>
      </c>
      <c r="H57" s="45" t="e">
        <f>Arbejdsark!#REF!</f>
        <v>#REF!</v>
      </c>
      <c r="I57" s="45" t="str">
        <f>IF('Sortering af spørgsmål'!$C$15=Projektforudsætninger!$C$26,Arbejdsark!K172,"")</f>
        <v/>
      </c>
      <c r="J57" s="41" t="s">
        <v>9</v>
      </c>
      <c r="K57" s="41"/>
      <c r="L57" s="19"/>
      <c r="M57" s="19"/>
      <c r="N57" s="19"/>
      <c r="O57" s="19"/>
      <c r="P57" s="19"/>
      <c r="Q57" s="19"/>
      <c r="R57" s="19"/>
      <c r="S57" s="19"/>
      <c r="T57" s="19"/>
      <c r="U57" s="19"/>
    </row>
    <row r="58" spans="1:21" ht="113.65" customHeight="1" x14ac:dyDescent="0.45">
      <c r="A58" s="45" t="str">
        <f>Arbejdsark!$A$167</f>
        <v>Indeklima</v>
      </c>
      <c r="B58" s="43" t="str">
        <f>Arbejdsark!$B$177</f>
        <v>1.3</v>
      </c>
      <c r="C58" s="45" t="str">
        <f>IF('Sortering af spørgsmål'!$C$15=Projektforudsætninger!$C$26,Arbejdsark!C177,"")</f>
        <v/>
      </c>
      <c r="D58" s="46">
        <f>Arbejdsark!D59</f>
        <v>0</v>
      </c>
      <c r="E58" s="45">
        <f>Arbejdsark!I59</f>
        <v>0</v>
      </c>
      <c r="F58" s="45">
        <f>Arbejdsark!J59</f>
        <v>0</v>
      </c>
      <c r="G58" s="45" t="e">
        <f>Arbejdsark!#REF!</f>
        <v>#REF!</v>
      </c>
      <c r="H58" s="45" t="e">
        <f>Arbejdsark!#REF!</f>
        <v>#REF!</v>
      </c>
      <c r="I58" s="45" t="str">
        <f>IF('Sortering af spørgsmål'!$C$15=Projektforudsætninger!$C$26,Arbejdsark!K177,"")</f>
        <v/>
      </c>
      <c r="J58" s="41" t="s">
        <v>9</v>
      </c>
      <c r="K58" s="41"/>
      <c r="L58" s="19"/>
      <c r="M58" s="19"/>
      <c r="N58" s="19"/>
      <c r="O58" s="19"/>
      <c r="P58" s="19"/>
      <c r="Q58" s="19"/>
      <c r="R58" s="19"/>
      <c r="S58" s="19"/>
      <c r="T58" s="19"/>
      <c r="U58" s="19"/>
    </row>
    <row r="59" spans="1:21" ht="170.25" customHeight="1" x14ac:dyDescent="0.45">
      <c r="A59" s="45" t="str">
        <f>Arbejdsark!$A$167</f>
        <v>Indeklima</v>
      </c>
      <c r="B59" s="43" t="str">
        <f>Arbejdsark!$B$182</f>
        <v>1.4</v>
      </c>
      <c r="C59" s="45" t="str">
        <f>IF('Sortering af spørgsmål'!$C$15=Projektforudsætninger!$C$26,Arbejdsark!C182,"")</f>
        <v/>
      </c>
      <c r="D59" s="46" t="str">
        <f>Arbejdsark!D58</f>
        <v>Vægtning: SOC1.6 pkt. 2.4</v>
      </c>
      <c r="E59" s="45" t="str">
        <f>Arbejdsark!I58</f>
        <v>x</v>
      </c>
      <c r="F59" s="45">
        <f>Arbejdsark!J58</f>
        <v>0</v>
      </c>
      <c r="G59" s="45" t="e">
        <f>Arbejdsark!#REF!</f>
        <v>#REF!</v>
      </c>
      <c r="H59" s="45" t="e">
        <f>Arbejdsark!#REF!</f>
        <v>#REF!</v>
      </c>
      <c r="I59" s="45" t="str">
        <f>IF('Sortering af spørgsmål'!$C$15=Projektforudsætninger!$C$26,Arbejdsark!K182,"")</f>
        <v/>
      </c>
      <c r="J59" s="41" t="s">
        <v>9</v>
      </c>
      <c r="K59" s="41"/>
      <c r="L59" s="19"/>
      <c r="M59" s="19"/>
      <c r="N59" s="19"/>
      <c r="O59" s="19"/>
      <c r="P59" s="19"/>
      <c r="Q59" s="19"/>
      <c r="R59" s="19"/>
      <c r="S59" s="19"/>
      <c r="T59" s="19"/>
      <c r="U59" s="19"/>
    </row>
    <row r="60" spans="1:21" ht="183" customHeight="1" x14ac:dyDescent="0.45">
      <c r="A60" s="45" t="str">
        <f>Arbejdsark!$A$167</f>
        <v>Indeklima</v>
      </c>
      <c r="B60" s="43" t="str">
        <f>Arbejdsark!$B$187</f>
        <v>1.5</v>
      </c>
      <c r="C60" s="45" t="str">
        <f>IF('Sortering af spørgsmål'!$C$15=Projektforudsætninger!$C$26,Arbejdsark!C187,"")</f>
        <v/>
      </c>
      <c r="D60" s="46">
        <f>Arbejdsark!D59</f>
        <v>0</v>
      </c>
      <c r="E60" s="45">
        <f>Arbejdsark!I59</f>
        <v>0</v>
      </c>
      <c r="F60" s="45">
        <f>Arbejdsark!J59</f>
        <v>0</v>
      </c>
      <c r="G60" s="45" t="e">
        <f>Arbejdsark!#REF!</f>
        <v>#REF!</v>
      </c>
      <c r="H60" s="45" t="e">
        <f>Arbejdsark!#REF!</f>
        <v>#REF!</v>
      </c>
      <c r="I60" s="45" t="str">
        <f>IF('Sortering af spørgsmål'!$C$15=Projektforudsætninger!$C$26,Arbejdsark!K187,"")</f>
        <v/>
      </c>
      <c r="J60" s="41" t="s">
        <v>9</v>
      </c>
      <c r="K60" s="41"/>
      <c r="L60" s="19"/>
      <c r="M60" s="19"/>
      <c r="N60" s="19"/>
      <c r="O60" s="19"/>
      <c r="P60" s="19"/>
      <c r="Q60" s="19"/>
      <c r="R60" s="19"/>
      <c r="S60" s="19"/>
      <c r="T60" s="19"/>
      <c r="U60" s="19"/>
    </row>
    <row r="61" spans="1:21" ht="85.15" customHeight="1" x14ac:dyDescent="0.45">
      <c r="A61" s="45"/>
      <c r="B61" s="43" t="str">
        <f>Arbejdsark!$B$192</f>
        <v>1.6</v>
      </c>
      <c r="C61" s="45"/>
      <c r="D61" s="46"/>
      <c r="E61" s="45"/>
      <c r="F61" s="45"/>
      <c r="G61" s="45"/>
      <c r="H61" s="45"/>
      <c r="I61" s="45" t="str">
        <f>IF('Sortering af spørgsmål'!$C$15=Projektforudsætninger!$C$26,Arbejdsark!K192,"")</f>
        <v/>
      </c>
      <c r="J61" s="41" t="s">
        <v>9</v>
      </c>
      <c r="K61" s="41"/>
      <c r="L61" s="19"/>
      <c r="M61" s="19"/>
      <c r="N61" s="19"/>
      <c r="O61" s="19"/>
      <c r="P61" s="19"/>
      <c r="Q61" s="19"/>
      <c r="R61" s="19"/>
      <c r="S61" s="19"/>
      <c r="T61" s="19"/>
      <c r="U61" s="19"/>
    </row>
    <row r="62" spans="1:21" ht="141.75" customHeight="1" x14ac:dyDescent="0.45">
      <c r="A62" s="45" t="str">
        <f>Arbejdsark!$A$167</f>
        <v>Indeklima</v>
      </c>
      <c r="B62" s="43" t="str">
        <f>Arbejdsark!$B$197</f>
        <v>1.7</v>
      </c>
      <c r="C62" s="45" t="str">
        <f>IF('Sortering af spørgsmål'!$C$15=Projektforudsætninger!$C$26,Arbejdsark!C197,"")</f>
        <v/>
      </c>
      <c r="D62" s="46">
        <f>Arbejdsark!D60</f>
        <v>0</v>
      </c>
      <c r="E62" s="45">
        <f>Arbejdsark!I60</f>
        <v>0</v>
      </c>
      <c r="F62" s="45">
        <f>Arbejdsark!J60</f>
        <v>0</v>
      </c>
      <c r="G62" s="45" t="e">
        <f>Arbejdsark!#REF!</f>
        <v>#REF!</v>
      </c>
      <c r="H62" s="45" t="e">
        <f>Arbejdsark!#REF!</f>
        <v>#REF!</v>
      </c>
      <c r="I62" s="45" t="str">
        <f>IF('Sortering af spørgsmål'!$C$15=Projektforudsætninger!$C$26,Arbejdsark!K197,"")</f>
        <v/>
      </c>
      <c r="J62" s="41" t="s">
        <v>9</v>
      </c>
      <c r="K62" s="41"/>
      <c r="L62" s="19"/>
      <c r="M62" s="19"/>
      <c r="N62" s="19"/>
      <c r="O62" s="19"/>
      <c r="P62" s="19"/>
      <c r="Q62" s="19"/>
      <c r="R62" s="19"/>
      <c r="S62" s="19"/>
      <c r="T62" s="19"/>
      <c r="U62" s="19"/>
    </row>
    <row r="63" spans="1:21" ht="141.75" customHeight="1" x14ac:dyDescent="0.45">
      <c r="A63" s="45" t="str">
        <f>Arbejdsark!$A$167</f>
        <v>Indeklima</v>
      </c>
      <c r="B63" s="43" t="str">
        <f>Arbejdsark!$B$202</f>
        <v>1.8</v>
      </c>
      <c r="C63" s="45" t="str">
        <f>IF('Sortering af spørgsmål'!$C$15=Projektforudsætninger!$C$26,Arbejdsark!C202,"")</f>
        <v/>
      </c>
      <c r="D63" s="46">
        <f>Arbejdsark!D61</f>
        <v>0</v>
      </c>
      <c r="E63" s="45">
        <f>Arbejdsark!I61</f>
        <v>0</v>
      </c>
      <c r="F63" s="45">
        <f>Arbejdsark!J61</f>
        <v>0</v>
      </c>
      <c r="G63" s="45" t="e">
        <f>Arbejdsark!#REF!</f>
        <v>#REF!</v>
      </c>
      <c r="H63" s="45" t="e">
        <f>Arbejdsark!#REF!</f>
        <v>#REF!</v>
      </c>
      <c r="I63" s="45" t="str">
        <f>IF('Sortering af spørgsmål'!$C$15=Projektforudsætninger!$C$26,Arbejdsark!K202,"")</f>
        <v/>
      </c>
      <c r="J63" s="41" t="s">
        <v>9</v>
      </c>
      <c r="K63" s="41"/>
      <c r="L63" s="19"/>
      <c r="M63" s="19"/>
      <c r="N63" s="19"/>
      <c r="O63" s="19"/>
      <c r="P63" s="19"/>
      <c r="Q63" s="19"/>
      <c r="R63" s="19"/>
      <c r="S63" s="19"/>
      <c r="T63" s="19"/>
      <c r="U63" s="19"/>
    </row>
    <row r="64" spans="1:21" ht="85.15" customHeight="1" x14ac:dyDescent="0.45">
      <c r="A64" s="45" t="str">
        <f>Arbejdsark!$A$167</f>
        <v>Indeklima</v>
      </c>
      <c r="B64" s="43" t="str">
        <f>Arbejdsark!$B$207</f>
        <v>1.9</v>
      </c>
      <c r="C64" s="45" t="str">
        <f>IF('Sortering af spørgsmål'!$C$15=Projektforudsætninger!$C$26,Arbejdsark!C207,"")</f>
        <v/>
      </c>
      <c r="D64" s="46">
        <f>Arbejdsark!D62</f>
        <v>0</v>
      </c>
      <c r="E64" s="45">
        <f>Arbejdsark!I62</f>
        <v>0</v>
      </c>
      <c r="F64" s="45">
        <f>Arbejdsark!J62</f>
        <v>0</v>
      </c>
      <c r="G64" s="45" t="e">
        <f>Arbejdsark!#REF!</f>
        <v>#REF!</v>
      </c>
      <c r="H64" s="45" t="e">
        <f>Arbejdsark!#REF!</f>
        <v>#REF!</v>
      </c>
      <c r="I64" s="45" t="str">
        <f>IF('Sortering af spørgsmål'!$C$15=Projektforudsætninger!$C$26,Arbejdsark!K207,"")</f>
        <v/>
      </c>
      <c r="J64" s="41" t="s">
        <v>9</v>
      </c>
      <c r="K64" s="41"/>
      <c r="L64" s="19"/>
      <c r="M64" s="19"/>
      <c r="N64" s="19"/>
      <c r="O64" s="19"/>
      <c r="P64" s="19"/>
      <c r="Q64" s="19"/>
      <c r="R64" s="19"/>
      <c r="S64" s="19"/>
      <c r="T64" s="19"/>
      <c r="U64" s="19"/>
    </row>
    <row r="65" spans="1:21" ht="127.5" customHeight="1" x14ac:dyDescent="0.45">
      <c r="A65" s="45" t="str">
        <f>Arbejdsark!$A$167</f>
        <v>Indeklima</v>
      </c>
      <c r="B65" s="43" t="str">
        <f>Arbejdsark!$B$212</f>
        <v>1.10</v>
      </c>
      <c r="C65" s="45" t="str">
        <f>IF('Sortering af spørgsmål'!$C$15=Projektforudsætninger!$C$26,Arbejdsark!C212,"")</f>
        <v/>
      </c>
      <c r="D65" s="46" t="str">
        <f>Arbejdsark!D63</f>
        <v>SOC1.6
Vægtning: 20% af SOC1.6 pkt 2.8</v>
      </c>
      <c r="E65" s="45" t="str">
        <f>Arbejdsark!I63</f>
        <v>x</v>
      </c>
      <c r="F65" s="45">
        <f>Arbejdsark!J63</f>
        <v>0</v>
      </c>
      <c r="G65" s="45" t="e">
        <f>Arbejdsark!#REF!</f>
        <v>#REF!</v>
      </c>
      <c r="H65" s="45" t="e">
        <f>Arbejdsark!#REF!</f>
        <v>#REF!</v>
      </c>
      <c r="I65" s="45" t="str">
        <f>IF('Sortering af spørgsmål'!$C$15=Projektforudsætninger!$C$26,Arbejdsark!K212,"")</f>
        <v/>
      </c>
      <c r="J65" s="41" t="s">
        <v>9</v>
      </c>
      <c r="K65" s="41"/>
      <c r="L65" s="19"/>
      <c r="M65" s="19"/>
      <c r="N65" s="19"/>
      <c r="O65" s="19"/>
      <c r="P65" s="19"/>
      <c r="Q65" s="19"/>
      <c r="R65" s="19"/>
      <c r="S65" s="19"/>
      <c r="T65" s="19"/>
      <c r="U65" s="19"/>
    </row>
    <row r="66" spans="1:21" x14ac:dyDescent="0.45">
      <c r="A66" s="45"/>
      <c r="B66" s="45"/>
      <c r="C66" s="45"/>
      <c r="D66" s="46"/>
      <c r="E66" s="45"/>
      <c r="F66" s="45"/>
      <c r="G66" s="45"/>
      <c r="H66" s="45"/>
      <c r="I66" s="45"/>
      <c r="J66" s="47"/>
      <c r="K66" s="47"/>
      <c r="L66" s="19"/>
      <c r="M66" s="19"/>
      <c r="N66" s="19"/>
      <c r="O66" s="19"/>
      <c r="P66" s="19"/>
      <c r="Q66" s="19"/>
      <c r="R66" s="19"/>
      <c r="S66" s="19"/>
      <c r="T66" s="19"/>
      <c r="U66" s="19"/>
    </row>
    <row r="67" spans="1:21" ht="28.5" customHeight="1" x14ac:dyDescent="0.45">
      <c r="A67" s="56" t="str">
        <f>Arbejdsark!$A$217</f>
        <v>Brugerstyring</v>
      </c>
      <c r="B67" s="57">
        <v>2</v>
      </c>
      <c r="C67" s="56"/>
      <c r="D67" s="56"/>
      <c r="E67" s="56"/>
      <c r="F67" s="56"/>
      <c r="G67" s="56"/>
      <c r="H67" s="56"/>
      <c r="I67" s="57" t="str">
        <f>IF('Sortering af spørgsmål'!$C$16=Projektforudsætninger!$C$26,"Udfyld spørgsmål","Ingen spørgsmål")</f>
        <v>Ingen spørgsmål</v>
      </c>
      <c r="J67" s="54"/>
      <c r="K67" s="54"/>
      <c r="L67" s="19"/>
      <c r="M67" s="19"/>
      <c r="N67" s="19"/>
      <c r="O67" s="19"/>
      <c r="P67" s="19"/>
      <c r="Q67" s="19"/>
      <c r="R67" s="19"/>
      <c r="S67" s="19"/>
      <c r="T67" s="19"/>
      <c r="U67" s="19"/>
    </row>
    <row r="68" spans="1:21" ht="85.15" customHeight="1" x14ac:dyDescent="0.45">
      <c r="A68" s="45" t="str">
        <f>Arbejdsark!$A$217</f>
        <v>Brugerstyring</v>
      </c>
      <c r="B68" s="43" t="str">
        <f>Arbejdsark!$B$217</f>
        <v>2.1</v>
      </c>
      <c r="C68" s="45" t="str">
        <f>IF('Sortering af spørgsmål'!$C$16=Projektforudsætninger!$C$26,Arbejdsark!C217,"")</f>
        <v/>
      </c>
      <c r="D68" s="46">
        <f>Arbejdsark!D62</f>
        <v>0</v>
      </c>
      <c r="E68" s="45">
        <f>Arbejdsark!I62</f>
        <v>0</v>
      </c>
      <c r="F68" s="45">
        <f>Arbejdsark!J62</f>
        <v>0</v>
      </c>
      <c r="G68" s="45" t="e">
        <f>Arbejdsark!#REF!</f>
        <v>#REF!</v>
      </c>
      <c r="H68" s="45" t="e">
        <f>Arbejdsark!#REF!</f>
        <v>#REF!</v>
      </c>
      <c r="I68" s="45" t="str">
        <f>IF('Sortering af spørgsmål'!$C$16=Projektforudsætninger!$C$26,Arbejdsark!K217,"")</f>
        <v/>
      </c>
      <c r="J68" s="41" t="s">
        <v>9</v>
      </c>
      <c r="K68" s="41"/>
      <c r="L68" s="19"/>
      <c r="M68" s="19"/>
      <c r="N68" s="19"/>
      <c r="O68" s="19"/>
      <c r="P68" s="19"/>
      <c r="Q68" s="19"/>
      <c r="R68" s="19"/>
      <c r="S68" s="19"/>
      <c r="T68" s="19"/>
      <c r="U68" s="19"/>
    </row>
    <row r="69" spans="1:21" ht="85.15" customHeight="1" x14ac:dyDescent="0.45">
      <c r="A69" s="45" t="str">
        <f>Arbejdsark!$A$217</f>
        <v>Brugerstyring</v>
      </c>
      <c r="B69" s="43" t="str">
        <f>Arbejdsark!$B$222</f>
        <v>2.2</v>
      </c>
      <c r="C69" s="45" t="str">
        <f>IF('Sortering af spørgsmål'!$C$16=Projektforudsætninger!$C$26,Arbejdsark!C222,"")</f>
        <v/>
      </c>
      <c r="D69" s="46" t="str">
        <f>Arbejdsark!D63</f>
        <v>SOC1.6
Vægtning: 20% af SOC1.6 pkt 2.8</v>
      </c>
      <c r="E69" s="45" t="str">
        <f>Arbejdsark!I63</f>
        <v>x</v>
      </c>
      <c r="F69" s="45">
        <f>Arbejdsark!J63</f>
        <v>0</v>
      </c>
      <c r="G69" s="45" t="e">
        <f>Arbejdsark!#REF!</f>
        <v>#REF!</v>
      </c>
      <c r="H69" s="45" t="e">
        <f>Arbejdsark!#REF!</f>
        <v>#REF!</v>
      </c>
      <c r="I69" s="45" t="str">
        <f>IF('Sortering af spørgsmål'!$C$16=Projektforudsætninger!$C$26,Arbejdsark!K222,"")</f>
        <v/>
      </c>
      <c r="J69" s="41" t="s">
        <v>9</v>
      </c>
      <c r="K69" s="41"/>
      <c r="L69" s="19"/>
      <c r="M69" s="19"/>
      <c r="N69" s="19"/>
      <c r="O69" s="19"/>
      <c r="P69" s="19"/>
      <c r="Q69" s="19"/>
      <c r="R69" s="19"/>
      <c r="S69" s="19"/>
      <c r="T69" s="19"/>
      <c r="U69" s="19"/>
    </row>
    <row r="70" spans="1:21" ht="85.15" customHeight="1" x14ac:dyDescent="0.45">
      <c r="A70" s="45" t="str">
        <f>Arbejdsark!$A$217</f>
        <v>Brugerstyring</v>
      </c>
      <c r="B70" s="43" t="str">
        <f>Arbejdsark!$B$227</f>
        <v>2.3</v>
      </c>
      <c r="C70" s="45" t="str">
        <f>IF('Sortering af spørgsmål'!$C$16=Projektforudsætninger!$C$26,Arbejdsark!C227,"")</f>
        <v/>
      </c>
      <c r="D70" s="46">
        <f>Arbejdsark!D64</f>
        <v>0</v>
      </c>
      <c r="E70" s="45">
        <f>Arbejdsark!I64</f>
        <v>0</v>
      </c>
      <c r="F70" s="45">
        <f>Arbejdsark!J64</f>
        <v>0</v>
      </c>
      <c r="G70" s="45" t="e">
        <f>Arbejdsark!#REF!</f>
        <v>#REF!</v>
      </c>
      <c r="H70" s="45" t="e">
        <f>Arbejdsark!#REF!</f>
        <v>#REF!</v>
      </c>
      <c r="I70" s="45" t="str">
        <f>IF('Sortering af spørgsmål'!$C$16=Projektforudsætninger!$C$26,Arbejdsark!K227,"")</f>
        <v/>
      </c>
      <c r="J70" s="41" t="s">
        <v>9</v>
      </c>
      <c r="K70" s="41"/>
      <c r="L70" s="19"/>
      <c r="M70" s="19"/>
      <c r="N70" s="19"/>
      <c r="O70" s="19"/>
      <c r="P70" s="19"/>
      <c r="Q70" s="19"/>
      <c r="R70" s="19"/>
      <c r="S70" s="19"/>
      <c r="T70" s="19"/>
      <c r="U70" s="19"/>
    </row>
    <row r="71" spans="1:21" x14ac:dyDescent="0.45">
      <c r="A71" s="45"/>
      <c r="B71" s="45"/>
      <c r="C71" s="45"/>
      <c r="D71" s="46"/>
      <c r="E71" s="45"/>
      <c r="F71" s="45"/>
      <c r="G71" s="45"/>
      <c r="H71" s="45"/>
      <c r="I71" s="45"/>
      <c r="J71" s="47"/>
      <c r="K71" s="47"/>
      <c r="L71" s="19"/>
      <c r="M71" s="19"/>
      <c r="N71" s="19"/>
      <c r="O71" s="19"/>
      <c r="P71" s="19"/>
      <c r="Q71" s="19"/>
      <c r="R71" s="19"/>
      <c r="S71" s="19"/>
      <c r="T71" s="19"/>
      <c r="U71" s="19"/>
    </row>
    <row r="72" spans="1:21" ht="28.5" customHeight="1" x14ac:dyDescent="0.45">
      <c r="A72" s="56" t="str">
        <f>Arbejdsark!$A$234</f>
        <v>Tilgængelighed</v>
      </c>
      <c r="B72" s="57">
        <v>3</v>
      </c>
      <c r="C72" s="56"/>
      <c r="D72" s="56"/>
      <c r="E72" s="56"/>
      <c r="F72" s="56"/>
      <c r="G72" s="56"/>
      <c r="H72" s="56"/>
      <c r="I72" s="57" t="str">
        <f>IF('Sortering af spørgsmål'!$C$17=Projektforudsætninger!$C$26,"Udfyld spørgsmål","Ingen spørgsmål")</f>
        <v>Ingen spørgsmål</v>
      </c>
      <c r="J72" s="54"/>
      <c r="K72" s="54"/>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spørgsmål'!$C$17=Projektforudsætninger!$C$26,Arbejdsark!C234,"")</f>
        <v/>
      </c>
      <c r="D73" s="46">
        <f>Arbejdsark!D67</f>
        <v>0</v>
      </c>
      <c r="E73" s="45">
        <f>Arbejdsark!I67</f>
        <v>0</v>
      </c>
      <c r="F73" s="45">
        <f>Arbejdsark!J67</f>
        <v>0</v>
      </c>
      <c r="G73" s="45" t="e">
        <f>Arbejdsark!#REF!</f>
        <v>#REF!</v>
      </c>
      <c r="H73" s="45" t="e">
        <f>Arbejdsark!#REF!</f>
        <v>#REF!</v>
      </c>
      <c r="I73" s="45" t="str">
        <f>IF('Sortering af spørgsmål'!$C$17=Projektforudsætninger!$C$26,Arbejdsark!K234,"")</f>
        <v/>
      </c>
      <c r="J73" s="41" t="s">
        <v>9</v>
      </c>
      <c r="K73" s="41"/>
      <c r="L73" s="19"/>
      <c r="M73" s="19"/>
      <c r="N73" s="19"/>
      <c r="O73" s="19"/>
      <c r="P73" s="19"/>
      <c r="Q73" s="19"/>
      <c r="R73" s="19"/>
      <c r="S73" s="19"/>
      <c r="T73" s="19"/>
      <c r="U73" s="19"/>
    </row>
    <row r="74" spans="1:21" ht="170.25" customHeight="1" x14ac:dyDescent="0.45">
      <c r="A74" s="45" t="str">
        <f>Arbejdsark!$A$234</f>
        <v>Tilgængelighed</v>
      </c>
      <c r="B74" s="43" t="e">
        <f>Arbejdsark!#REF!</f>
        <v>#REF!</v>
      </c>
      <c r="C74" s="45" t="str">
        <f>IF('Sortering af spørgsmål'!$C$17=Projektforudsætninger!$C$26,Arbejdsark!#REF!,"")</f>
        <v/>
      </c>
      <c r="D74" s="46">
        <f>Arbejdsark!D74</f>
        <v>0</v>
      </c>
      <c r="E74" s="45">
        <f>Arbejdsark!I74</f>
        <v>0</v>
      </c>
      <c r="F74" s="45">
        <f>Arbejdsark!J74</f>
        <v>0</v>
      </c>
      <c r="G74" s="45" t="e">
        <f>Arbejdsark!#REF!</f>
        <v>#REF!</v>
      </c>
      <c r="H74" s="45" t="e">
        <f>Arbejdsark!#REF!</f>
        <v>#REF!</v>
      </c>
      <c r="I74" s="45" t="str">
        <f>IF('Sortering af spørgsmål'!$C$17=Projektforudsætninger!$C$26,Arbejdsark!#REF!,"")</f>
        <v/>
      </c>
      <c r="J74" s="41" t="s">
        <v>9</v>
      </c>
      <c r="K74" s="41"/>
      <c r="L74" s="19"/>
      <c r="M74" s="19"/>
      <c r="N74" s="19"/>
      <c r="O74" s="19"/>
      <c r="P74" s="19"/>
      <c r="Q74" s="19"/>
      <c r="R74" s="19"/>
      <c r="S74" s="19"/>
      <c r="T74" s="19"/>
      <c r="U74" s="19"/>
    </row>
    <row r="75" spans="1:21" x14ac:dyDescent="0.45">
      <c r="A75" s="45"/>
      <c r="B75" s="45"/>
      <c r="C75" s="45"/>
      <c r="D75" s="46"/>
      <c r="E75" s="45"/>
      <c r="F75" s="45"/>
      <c r="G75" s="45"/>
      <c r="H75" s="45"/>
      <c r="I75" s="45"/>
      <c r="J75" s="47"/>
      <c r="K75" s="47"/>
      <c r="L75" s="19"/>
      <c r="M75" s="19"/>
      <c r="N75" s="19"/>
      <c r="O75" s="19"/>
      <c r="P75" s="19"/>
      <c r="Q75" s="19"/>
      <c r="R75" s="19"/>
      <c r="S75" s="19"/>
      <c r="T75" s="19"/>
      <c r="U75" s="19"/>
    </row>
    <row r="76" spans="1:21" ht="28.5" customHeight="1" x14ac:dyDescent="0.45">
      <c r="A76" s="56" t="str">
        <f>Arbejdsark!$A$239</f>
        <v>Udearealer</v>
      </c>
      <c r="B76" s="57">
        <v>4</v>
      </c>
      <c r="C76" s="56"/>
      <c r="D76" s="56"/>
      <c r="E76" s="56"/>
      <c r="F76" s="56"/>
      <c r="G76" s="56"/>
      <c r="H76" s="56"/>
      <c r="I76" s="57" t="str">
        <f>IF('Sortering af spørgsmål'!$C$18=Projektforudsætninger!$C$26,"Udfyld spørgsmål","Ingen spørgsmål")</f>
        <v>Ingen spørgsmål</v>
      </c>
      <c r="J76" s="54"/>
      <c r="K76" s="54"/>
      <c r="L76" s="19"/>
      <c r="M76" s="19"/>
      <c r="N76" s="19"/>
      <c r="O76" s="19"/>
      <c r="P76" s="19"/>
      <c r="Q76" s="19"/>
      <c r="R76" s="19"/>
      <c r="S76" s="19"/>
      <c r="T76" s="19"/>
      <c r="U76" s="19"/>
    </row>
    <row r="77" spans="1:21" s="33" customFormat="1" ht="113.65" customHeight="1" x14ac:dyDescent="0.45">
      <c r="A77" s="45" t="str">
        <f>Arbejdsark!$A$239</f>
        <v>Udearealer</v>
      </c>
      <c r="B77" s="43" t="str">
        <f>Arbejdsark!$B$239</f>
        <v>4.1</v>
      </c>
      <c r="C77" s="45" t="str">
        <f>IF('Sortering af spørgsmål'!$C$18=Projektforudsætninger!$C$26,Arbejdsark!C239,"")</f>
        <v/>
      </c>
      <c r="D77" s="46">
        <f>Arbejdsark!D77</f>
        <v>0</v>
      </c>
      <c r="E77" s="45">
        <f>Arbejdsark!I77</f>
        <v>0</v>
      </c>
      <c r="F77" s="45">
        <f>Arbejdsark!J77</f>
        <v>0</v>
      </c>
      <c r="G77" s="45" t="e">
        <f>Arbejdsark!#REF!</f>
        <v>#REF!</v>
      </c>
      <c r="H77" s="45" t="e">
        <f>Arbejdsark!#REF!</f>
        <v>#REF!</v>
      </c>
      <c r="I77" s="45" t="str">
        <f>IF('Sortering af spørgsmål'!$C$18=Projektforudsætninger!$C$26,Arbejdsark!K239,"")</f>
        <v/>
      </c>
      <c r="J77" s="41" t="s">
        <v>9</v>
      </c>
      <c r="K77" s="41"/>
      <c r="L77" s="27">
        <f t="shared" ref="L77:U77" si="1">L4</f>
        <v>0</v>
      </c>
      <c r="M77" s="27">
        <f t="shared" si="1"/>
        <v>0</v>
      </c>
      <c r="N77" s="27">
        <f t="shared" si="1"/>
        <v>0</v>
      </c>
      <c r="O77" s="27">
        <f t="shared" si="1"/>
        <v>0</v>
      </c>
      <c r="P77" s="27">
        <f t="shared" si="1"/>
        <v>0</v>
      </c>
      <c r="Q77" s="27">
        <f t="shared" si="1"/>
        <v>0</v>
      </c>
      <c r="R77" s="27">
        <f t="shared" si="1"/>
        <v>0</v>
      </c>
      <c r="S77" s="27">
        <f t="shared" si="1"/>
        <v>0</v>
      </c>
      <c r="T77" s="27">
        <f t="shared" si="1"/>
        <v>0</v>
      </c>
      <c r="U77" s="27">
        <f t="shared" si="1"/>
        <v>0</v>
      </c>
    </row>
    <row r="78" spans="1:21" ht="170.25" customHeight="1" x14ac:dyDescent="0.45">
      <c r="A78" s="45" t="str">
        <f>Arbejdsark!$A$239</f>
        <v>Udearealer</v>
      </c>
      <c r="B78" s="43" t="str">
        <f>Arbejdsark!$B$244</f>
        <v>4.2</v>
      </c>
      <c r="C78" s="45" t="str">
        <f>IF('Sortering af spørgsmål'!$C$18=Projektforudsætninger!$C$26,Arbejdsark!C244,"")</f>
        <v/>
      </c>
      <c r="D78" s="46" t="str">
        <f>Arbejdsark!D78</f>
        <v>ENV2.3
Vægtning: ENV2.3 pkt. 2.1 + 2.2+3</v>
      </c>
      <c r="E78" s="45" t="str">
        <f>Arbejdsark!I78</f>
        <v>x</v>
      </c>
      <c r="F78" s="45">
        <f>Arbejdsark!J78</f>
        <v>0</v>
      </c>
      <c r="G78" s="45" t="e">
        <f>Arbejdsark!#REF!</f>
        <v>#REF!</v>
      </c>
      <c r="H78" s="45" t="e">
        <f>Arbejdsark!#REF!</f>
        <v>#REF!</v>
      </c>
      <c r="I78" s="45" t="str">
        <f>IF('Sortering af spørgsmål'!$C$18=Projektforudsætninger!$C$26,Arbejdsark!K244,"")</f>
        <v/>
      </c>
      <c r="J78" s="41" t="s">
        <v>9</v>
      </c>
      <c r="K78" s="41"/>
      <c r="L78" s="19"/>
      <c r="M78" s="19"/>
      <c r="N78" s="19"/>
      <c r="O78" s="19"/>
      <c r="P78" s="19"/>
      <c r="Q78" s="19"/>
      <c r="R78" s="19"/>
      <c r="S78" s="19"/>
      <c r="T78" s="19"/>
      <c r="U78" s="19"/>
    </row>
    <row r="79" spans="1:21" x14ac:dyDescent="0.45">
      <c r="A79" s="45"/>
      <c r="B79" s="45"/>
      <c r="C79" s="45"/>
      <c r="D79" s="46"/>
      <c r="E79" s="45"/>
      <c r="F79" s="45"/>
      <c r="G79" s="45"/>
      <c r="H79" s="45"/>
      <c r="I79" s="45"/>
      <c r="J79" s="47"/>
      <c r="K79" s="47"/>
      <c r="L79" s="19"/>
      <c r="M79" s="19"/>
      <c r="N79" s="19"/>
      <c r="O79" s="19"/>
      <c r="P79" s="19"/>
      <c r="Q79" s="19"/>
      <c r="R79" s="19"/>
      <c r="S79" s="19"/>
      <c r="T79" s="19"/>
      <c r="U79" s="19"/>
    </row>
    <row r="80" spans="1:21" ht="28.5" customHeight="1" x14ac:dyDescent="0.45">
      <c r="A80" s="56" t="str">
        <f>Arbejdsark!$A$250</f>
        <v>Cyklister</v>
      </c>
      <c r="B80" s="57">
        <v>5</v>
      </c>
      <c r="C80" s="56"/>
      <c r="D80" s="56"/>
      <c r="E80" s="56"/>
      <c r="F80" s="56"/>
      <c r="G80" s="56"/>
      <c r="H80" s="56"/>
      <c r="I80" s="57" t="str">
        <f>IF('Sortering af spørgsmål'!$C$19=Projektforudsætninger!$C$26,"Udfyld spørgsmål","Ingen spørgsmål")</f>
        <v>Ingen spørgsmål</v>
      </c>
      <c r="J80" s="54"/>
      <c r="K80" s="54"/>
      <c r="L80" s="19"/>
      <c r="M80" s="19"/>
      <c r="N80" s="19"/>
      <c r="O80" s="19"/>
      <c r="P80" s="19"/>
      <c r="Q80" s="19"/>
      <c r="R80" s="19"/>
      <c r="S80" s="19"/>
      <c r="T80" s="19"/>
      <c r="U80" s="19"/>
    </row>
    <row r="81" spans="1:21" ht="113.65" customHeight="1" x14ac:dyDescent="0.45">
      <c r="A81" s="45" t="str">
        <f>Arbejdsark!$A$250</f>
        <v>Cyklister</v>
      </c>
      <c r="B81" s="43" t="str">
        <f>Arbejdsark!$B$250</f>
        <v>5.1</v>
      </c>
      <c r="C81" s="45" t="str">
        <f>IF('Sortering af spørgsmål'!$C$19=Projektforudsætninger!$C$26,Arbejdsark!C250,"")</f>
        <v/>
      </c>
      <c r="D81" s="46">
        <f>Arbejdsark!D81</f>
        <v>0</v>
      </c>
      <c r="E81" s="45">
        <f>Arbejdsark!I81</f>
        <v>0</v>
      </c>
      <c r="F81" s="45">
        <f>Arbejdsark!J81</f>
        <v>0</v>
      </c>
      <c r="G81" s="45" t="e">
        <f>Arbejdsark!#REF!</f>
        <v>#REF!</v>
      </c>
      <c r="H81" s="45" t="e">
        <f>Arbejdsark!#REF!</f>
        <v>#REF!</v>
      </c>
      <c r="I81" s="45" t="str">
        <f>IF('Sortering af spørgsmål'!$C$19=Projektforudsætninger!$C$26,Arbejdsark!K250,"")</f>
        <v/>
      </c>
      <c r="J81" s="41" t="s">
        <v>9</v>
      </c>
      <c r="K81" s="41"/>
      <c r="L81" s="19"/>
      <c r="M81" s="19"/>
      <c r="N81" s="19"/>
      <c r="O81" s="19"/>
      <c r="P81" s="19"/>
      <c r="Q81" s="19"/>
      <c r="R81" s="19"/>
      <c r="S81" s="19"/>
      <c r="T81" s="19"/>
      <c r="U81" s="19"/>
    </row>
    <row r="82" spans="1:21" ht="141.75" customHeight="1" x14ac:dyDescent="0.45">
      <c r="A82" s="45" t="str">
        <f>Arbejdsark!$A$250</f>
        <v>Cyklister</v>
      </c>
      <c r="B82" s="43" t="str">
        <f>Arbejdsark!$B$255</f>
        <v>5.2</v>
      </c>
      <c r="C82" s="45" t="str">
        <f>IF('Sortering af spørgsmål'!$C$19=Projektforudsætninger!$C$26,Arbejdsark!C255,"")</f>
        <v/>
      </c>
      <c r="D82" s="46">
        <f>Arbejdsark!D82</f>
        <v>0</v>
      </c>
      <c r="E82" s="45">
        <f>Arbejdsark!I82</f>
        <v>0</v>
      </c>
      <c r="F82" s="45">
        <f>Arbejdsark!J82</f>
        <v>0</v>
      </c>
      <c r="G82" s="45" t="e">
        <f>Arbejdsark!#REF!</f>
        <v>#REF!</v>
      </c>
      <c r="H82" s="45" t="e">
        <f>Arbejdsark!#REF!</f>
        <v>#REF!</v>
      </c>
      <c r="I82" s="45" t="str">
        <f>IF('Sortering af spørgsmål'!$C$19=Projektforudsætninger!$C$26,Arbejdsark!K255,"")</f>
        <v/>
      </c>
      <c r="J82" s="41" t="s">
        <v>9</v>
      </c>
      <c r="K82" s="41"/>
      <c r="L82" s="19"/>
      <c r="M82" s="19"/>
      <c r="N82" s="19"/>
      <c r="O82" s="19"/>
      <c r="P82" s="19"/>
      <c r="Q82" s="19"/>
      <c r="R82" s="19"/>
      <c r="S82" s="19"/>
      <c r="T82" s="19"/>
      <c r="U82" s="19"/>
    </row>
    <row r="83" spans="1:21" ht="141.75" customHeight="1" x14ac:dyDescent="0.45">
      <c r="A83" s="45" t="str">
        <f>Arbejdsark!$A$250</f>
        <v>Cyklister</v>
      </c>
      <c r="B83" s="43" t="str">
        <f>Arbejdsark!$B$260</f>
        <v>5.3</v>
      </c>
      <c r="C83" s="45" t="str">
        <f>IF('Sortering af spørgsmål'!$C$19=Projektforudsætninger!$C$26,Arbejdsark!C260,"")</f>
        <v/>
      </c>
      <c r="D83" s="46" t="e">
        <f>Arbejdsark!#REF!</f>
        <v>#REF!</v>
      </c>
      <c r="E83" s="45" t="e">
        <f>Arbejdsark!#REF!</f>
        <v>#REF!</v>
      </c>
      <c r="F83" s="45" t="e">
        <f>Arbejdsark!#REF!</f>
        <v>#REF!</v>
      </c>
      <c r="G83" s="45" t="e">
        <f>Arbejdsark!#REF!</f>
        <v>#REF!</v>
      </c>
      <c r="H83" s="45" t="e">
        <f>Arbejdsark!#REF!</f>
        <v>#REF!</v>
      </c>
      <c r="I83" s="45" t="str">
        <f>IF('Sortering af spørgsmål'!$C$19=Projektforudsætninger!$C$26,Arbejdsark!K260,"")</f>
        <v/>
      </c>
      <c r="J83" s="41" t="s">
        <v>9</v>
      </c>
      <c r="K83" s="41"/>
      <c r="L83" s="19"/>
      <c r="M83" s="19"/>
      <c r="N83" s="19"/>
      <c r="O83" s="19"/>
      <c r="P83" s="19"/>
      <c r="Q83" s="19"/>
      <c r="R83" s="19"/>
      <c r="S83" s="19"/>
      <c r="T83" s="19"/>
      <c r="U83" s="19"/>
    </row>
    <row r="84" spans="1:21" x14ac:dyDescent="0.45">
      <c r="A84" s="45"/>
      <c r="B84" s="45"/>
      <c r="C84" s="45"/>
      <c r="D84" s="46"/>
      <c r="E84" s="45"/>
      <c r="F84" s="45"/>
      <c r="G84" s="45"/>
      <c r="H84" s="45"/>
      <c r="I84" s="45"/>
      <c r="J84" s="47"/>
      <c r="K84" s="47"/>
      <c r="L84" s="19"/>
      <c r="M84" s="19"/>
      <c r="N84" s="19"/>
      <c r="O84" s="19"/>
      <c r="P84" s="19"/>
      <c r="Q84" s="19"/>
      <c r="R84" s="19"/>
      <c r="S84" s="19"/>
      <c r="T84" s="19"/>
      <c r="U84" s="19"/>
    </row>
    <row r="85" spans="1:21" ht="28.5" customHeight="1" x14ac:dyDescent="0.45">
      <c r="A85" s="56" t="str">
        <f>Arbejdsark!$A$265</f>
        <v>Tryghed og sikkerhed</v>
      </c>
      <c r="B85" s="57">
        <v>6</v>
      </c>
      <c r="C85" s="56"/>
      <c r="D85" s="56"/>
      <c r="E85" s="56"/>
      <c r="F85" s="56"/>
      <c r="G85" s="56"/>
      <c r="H85" s="56"/>
      <c r="I85" s="57" t="str">
        <f>IF('Sortering af spørgsmål'!$C$20=Projektforudsætninger!$C$26,"Udfyld spørgsmål","Ingen spørgsmål")</f>
        <v>Ingen spørgsmål</v>
      </c>
      <c r="J85" s="54"/>
      <c r="K85" s="54"/>
      <c r="L85" s="19"/>
      <c r="M85" s="19"/>
      <c r="N85" s="19"/>
      <c r="O85" s="19"/>
      <c r="P85" s="19"/>
      <c r="Q85" s="19"/>
      <c r="R85" s="19"/>
      <c r="S85" s="19"/>
      <c r="T85" s="19"/>
      <c r="U85" s="19"/>
    </row>
    <row r="86" spans="1:21" ht="113.65" customHeight="1" x14ac:dyDescent="0.45">
      <c r="A86" s="45" t="str">
        <f>Arbejdsark!$A$265</f>
        <v>Tryghed og sikkerhed</v>
      </c>
      <c r="B86" s="43" t="str">
        <f>Arbejdsark!$B$265</f>
        <v>6.1</v>
      </c>
      <c r="C86" s="45" t="str">
        <f>IF('Sortering af spørgsmål'!$C$20=Projektforudsætninger!$C$26,Arbejdsark!C265,"")</f>
        <v/>
      </c>
      <c r="D86" s="46">
        <f>Arbejdsark!D83</f>
        <v>0</v>
      </c>
      <c r="E86" s="45">
        <f>Arbejdsark!I83</f>
        <v>0</v>
      </c>
      <c r="F86" s="45">
        <f>Arbejdsark!J83</f>
        <v>0</v>
      </c>
      <c r="G86" s="45" t="e">
        <f>Arbejdsark!#REF!</f>
        <v>#REF!</v>
      </c>
      <c r="H86" s="45" t="e">
        <f>Arbejdsark!#REF!</f>
        <v>#REF!</v>
      </c>
      <c r="I86" s="45" t="str">
        <f>IF('Sortering af spørgsmål'!$C$20=Projektforudsætninger!$C$26,Arbejdsark!K265,"")</f>
        <v/>
      </c>
      <c r="J86" s="41" t="s">
        <v>9</v>
      </c>
      <c r="K86" s="41"/>
      <c r="L86" s="19"/>
      <c r="M86" s="19"/>
      <c r="N86" s="19"/>
      <c r="O86" s="19"/>
      <c r="P86" s="19"/>
      <c r="Q86" s="19"/>
      <c r="R86" s="19"/>
      <c r="S86" s="19"/>
      <c r="T86" s="19"/>
      <c r="U86" s="19"/>
    </row>
    <row r="87" spans="1:21" ht="113.65" customHeight="1" x14ac:dyDescent="0.45">
      <c r="A87" s="45" t="str">
        <f>Arbejdsark!$A$265</f>
        <v>Tryghed og sikkerhed</v>
      </c>
      <c r="B87" s="43" t="str">
        <f>Arbejdsark!$B$270</f>
        <v>6.2</v>
      </c>
      <c r="C87" s="45" t="str">
        <f>IF('Sortering af spørgsmål'!$C$20=Projektforudsætninger!$C$26,Arbejdsark!C270,"")</f>
        <v/>
      </c>
      <c r="D87" s="46">
        <f>Arbejdsark!D85</f>
        <v>0</v>
      </c>
      <c r="E87" s="45">
        <f>Arbejdsark!I85</f>
        <v>0</v>
      </c>
      <c r="F87" s="45">
        <f>Arbejdsark!J85</f>
        <v>0</v>
      </c>
      <c r="G87" s="45" t="e">
        <f>Arbejdsark!#REF!</f>
        <v>#REF!</v>
      </c>
      <c r="H87" s="45" t="e">
        <f>Arbejdsark!#REF!</f>
        <v>#REF!</v>
      </c>
      <c r="I87" s="45" t="str">
        <f>IF('Sortering af spørgsmål'!$C$20=Projektforudsætninger!$C$26,Arbejdsark!K270,"")</f>
        <v/>
      </c>
      <c r="J87" s="41" t="s">
        <v>9</v>
      </c>
      <c r="K87" s="41"/>
      <c r="L87" s="19"/>
      <c r="M87" s="19"/>
      <c r="N87" s="19"/>
      <c r="O87" s="19"/>
      <c r="P87" s="19"/>
      <c r="Q87" s="19"/>
      <c r="R87" s="19"/>
      <c r="S87" s="19"/>
      <c r="T87" s="19"/>
      <c r="U87" s="19"/>
    </row>
    <row r="88" spans="1:21" x14ac:dyDescent="0.45">
      <c r="A88" s="45"/>
      <c r="B88" s="45"/>
      <c r="C88" s="45"/>
      <c r="D88" s="46"/>
      <c r="E88" s="45"/>
      <c r="F88" s="45"/>
      <c r="G88" s="45"/>
      <c r="H88" s="45"/>
      <c r="I88" s="45"/>
      <c r="J88" s="47"/>
      <c r="K88" s="47"/>
      <c r="L88" s="19"/>
      <c r="M88" s="19"/>
      <c r="N88" s="19"/>
      <c r="O88" s="19"/>
      <c r="P88" s="19"/>
      <c r="Q88" s="19"/>
      <c r="R88" s="19"/>
      <c r="S88" s="19"/>
      <c r="T88" s="19"/>
      <c r="U88" s="19"/>
    </row>
    <row r="89" spans="1:21" ht="28.5" customHeight="1" x14ac:dyDescent="0.45">
      <c r="A89" s="56" t="str">
        <f>Arbejdsark!$A$279</f>
        <v>Arkitektonisk kvalitet</v>
      </c>
      <c r="B89" s="57">
        <v>7</v>
      </c>
      <c r="C89" s="56"/>
      <c r="D89" s="56"/>
      <c r="E89" s="56"/>
      <c r="F89" s="56"/>
      <c r="G89" s="56"/>
      <c r="H89" s="56"/>
      <c r="I89" s="57" t="str">
        <f>IF('Sortering af spørgsmål'!$C$21=Projektforudsætninger!$C$26,"Udfyld spørgsmål","Ingen spørgsmål")</f>
        <v>Ingen spørgsmål</v>
      </c>
      <c r="J89" s="54"/>
      <c r="K89" s="54"/>
      <c r="L89" s="19"/>
      <c r="M89" s="19"/>
      <c r="N89" s="19"/>
      <c r="O89" s="19"/>
      <c r="P89" s="19"/>
      <c r="Q89" s="19"/>
      <c r="R89" s="19"/>
      <c r="S89" s="19"/>
      <c r="T89" s="19"/>
      <c r="U89" s="19"/>
    </row>
    <row r="90" spans="1:21" s="33" customFormat="1" ht="73.5" customHeight="1" x14ac:dyDescent="0.45">
      <c r="A90" s="45" t="str">
        <f>IF(Projektforudsætninger!C40="Totalentreprisekonkurrence eller OPP leverance",Arbejdsark!$A$279,"")</f>
        <v/>
      </c>
      <c r="B90" s="43" t="str">
        <f>Arbejdsark!$B$289</f>
        <v>7.1</v>
      </c>
      <c r="C90" s="45" t="str">
        <f>IF('Sortering af spørgsmål'!$C$21=Projektforudsætninger!$C$26,IF(Projektforudsætninger!C40="Totalentreprisekonkurrence eller OPP leverance",Arbejdsark!C289,""),"")</f>
        <v/>
      </c>
      <c r="D90" s="46"/>
      <c r="E90" s="45"/>
      <c r="F90" s="45"/>
      <c r="G90" s="45"/>
      <c r="H90" s="45"/>
      <c r="I90" s="45" t="str">
        <f>IF('Sortering af spørgsmål'!$C$21=Projektforudsætninger!$C$26,IF(Projektforudsætninger!C40="Totalentreprisekonkurrence eller OPP leverance",Arbejdsark!K289,""),"")</f>
        <v/>
      </c>
      <c r="J90" s="41" t="s">
        <v>9</v>
      </c>
      <c r="K90" s="41"/>
      <c r="L90" s="32"/>
      <c r="M90" s="32"/>
      <c r="N90" s="32"/>
      <c r="O90" s="32"/>
      <c r="P90" s="32"/>
      <c r="Q90" s="32"/>
      <c r="R90" s="32"/>
      <c r="S90" s="32"/>
      <c r="T90" s="32"/>
      <c r="U90" s="32"/>
    </row>
    <row r="91" spans="1:21" s="33" customFormat="1" ht="75.75" customHeight="1" x14ac:dyDescent="0.45">
      <c r="A91" s="45"/>
      <c r="B91" s="43" t="str">
        <f>Arbejdsark!$B$294</f>
        <v>7.2</v>
      </c>
      <c r="C91" s="45" t="str">
        <f>IF('Sortering af spørgsmål'!$C$21=Projektforudsætninger!$C$26,IF(Projektforudsætninger!C40="Totalentreprisekonkurrence eller OPP leverance",Arbejdsark!C294,""),"")</f>
        <v/>
      </c>
      <c r="D91" s="46"/>
      <c r="E91" s="45"/>
      <c r="F91" s="45"/>
      <c r="G91" s="45"/>
      <c r="H91" s="45"/>
      <c r="I91" s="45" t="str">
        <f>IF('Sortering af spørgsmål'!$C$21=Projektforudsætninger!$C$26,IF(Projektforudsætninger!C40="Totalentreprisekonkurrence eller OPP leverance",Arbejdsark!K294,""),"")</f>
        <v/>
      </c>
      <c r="J91" s="41" t="s">
        <v>9</v>
      </c>
      <c r="K91" s="41"/>
      <c r="L91" s="32"/>
      <c r="M91" s="32"/>
      <c r="N91" s="32"/>
      <c r="O91" s="32"/>
      <c r="P91" s="32"/>
      <c r="Q91" s="32"/>
      <c r="R91" s="32"/>
      <c r="S91" s="32"/>
      <c r="T91" s="32"/>
      <c r="U91" s="32"/>
    </row>
    <row r="92" spans="1:21" x14ac:dyDescent="0.45">
      <c r="A92" s="45"/>
      <c r="B92" s="45"/>
      <c r="C92" s="45"/>
      <c r="D92" s="46"/>
      <c r="E92" s="45"/>
      <c r="F92" s="45"/>
      <c r="G92" s="45"/>
      <c r="H92" s="45"/>
      <c r="I92" s="45"/>
      <c r="J92" s="47"/>
      <c r="K92" s="47"/>
      <c r="L92" s="19"/>
      <c r="M92" s="19"/>
      <c r="N92" s="19"/>
      <c r="O92" s="19"/>
      <c r="P92" s="19"/>
      <c r="Q92" s="19"/>
      <c r="R92" s="19"/>
      <c r="S92" s="19"/>
      <c r="T92" s="19"/>
      <c r="U92" s="19"/>
    </row>
    <row r="93" spans="1:21" ht="28.5" customHeight="1" x14ac:dyDescent="0.45">
      <c r="A93" s="56" t="str">
        <f>Arbejdsark!$A$300</f>
        <v>Plandisponering</v>
      </c>
      <c r="B93" s="57">
        <v>8</v>
      </c>
      <c r="C93" s="56"/>
      <c r="D93" s="56"/>
      <c r="E93" s="56"/>
      <c r="F93" s="56"/>
      <c r="G93" s="56"/>
      <c r="H93" s="56"/>
      <c r="I93" s="57" t="str">
        <f>IF('Sortering af spørgsmål'!$C$22=Projektforudsætninger!$C$26,"Udfyld spørgsmål","Ingen spørgsmål")</f>
        <v>Ingen spørgsmål</v>
      </c>
      <c r="J93" s="54"/>
      <c r="K93" s="54"/>
      <c r="L93" s="19"/>
      <c r="M93" s="19"/>
      <c r="N93" s="19"/>
      <c r="O93" s="19"/>
      <c r="P93" s="19"/>
      <c r="Q93" s="19"/>
      <c r="R93" s="19"/>
      <c r="S93" s="19"/>
      <c r="T93" s="19"/>
      <c r="U93" s="19"/>
    </row>
    <row r="94" spans="1:21" ht="97.5" customHeight="1" x14ac:dyDescent="0.45">
      <c r="A94" s="45" t="str">
        <f>Arbejdsark!$A$300</f>
        <v>Plandisponering</v>
      </c>
      <c r="B94" s="43" t="str">
        <f>Arbejdsark!$B$300</f>
        <v>8.1</v>
      </c>
      <c r="C94" s="45" t="str">
        <f>IF('Sortering af spørgsmål'!$C$22=Projektforudsætninger!$C$26,Arbejdsark!C300,"")</f>
        <v/>
      </c>
      <c r="D94" s="46" t="str">
        <f>Arbejdsark!D91</f>
        <v>ECO2.2
Vægtning: ECO2.2 pkt. 1.1 + 1.2 +1.3</v>
      </c>
      <c r="E94" s="45" t="str">
        <f>Arbejdsark!I91</f>
        <v>x</v>
      </c>
      <c r="F94" s="45">
        <f>Arbejdsark!J91</f>
        <v>0</v>
      </c>
      <c r="G94" s="45" t="e">
        <f>Arbejdsark!#REF!</f>
        <v>#REF!</v>
      </c>
      <c r="H94" s="45" t="e">
        <f>Arbejdsark!#REF!</f>
        <v>#REF!</v>
      </c>
      <c r="I94" s="45" t="str">
        <f>IF('Sortering af spørgsmål'!$C$22=Projektforudsætninger!$C$26,Arbejdsark!K300,"")</f>
        <v/>
      </c>
      <c r="J94" s="41" t="s">
        <v>9</v>
      </c>
      <c r="K94" s="41"/>
      <c r="L94" s="19"/>
      <c r="M94" s="19"/>
      <c r="N94" s="19"/>
      <c r="O94" s="19"/>
      <c r="P94" s="19"/>
      <c r="Q94" s="19"/>
      <c r="R94" s="19"/>
      <c r="S94" s="19"/>
      <c r="T94" s="19"/>
      <c r="U94" s="19"/>
    </row>
    <row r="95" spans="1:21" ht="113.65" customHeight="1" x14ac:dyDescent="0.45">
      <c r="A95" s="45" t="str">
        <f>Arbejdsark!$A$300</f>
        <v>Plandisponering</v>
      </c>
      <c r="B95" s="43" t="str">
        <f>Arbejdsark!$B$306</f>
        <v>8.2</v>
      </c>
      <c r="C95" s="45" t="str">
        <f>IF('Sortering af spørgsmål'!$C$22=Projektforudsætninger!$C$26,Arbejdsark!C306,"")</f>
        <v/>
      </c>
      <c r="D95" s="46">
        <f>Arbejdsark!D92</f>
        <v>0</v>
      </c>
      <c r="E95" s="45">
        <f>Arbejdsark!I92</f>
        <v>0</v>
      </c>
      <c r="F95" s="45">
        <f>Arbejdsark!J92</f>
        <v>0</v>
      </c>
      <c r="G95" s="45" t="e">
        <f>Arbejdsark!#REF!</f>
        <v>#REF!</v>
      </c>
      <c r="H95" s="45" t="e">
        <f>Arbejdsark!#REF!</f>
        <v>#REF!</v>
      </c>
      <c r="I95" s="45" t="str">
        <f>IF('Sortering af spørgsmål'!$C$22=Projektforudsætninger!$C$26,Arbejdsark!K306,"")</f>
        <v/>
      </c>
      <c r="J95" s="41" t="s">
        <v>9</v>
      </c>
      <c r="K95" s="41"/>
      <c r="L95" s="19"/>
      <c r="M95" s="19"/>
      <c r="N95" s="19"/>
      <c r="O95" s="19"/>
      <c r="P95" s="19"/>
      <c r="Q95" s="19"/>
      <c r="R95" s="19"/>
      <c r="S95" s="19"/>
      <c r="T95" s="19"/>
      <c r="U95" s="19"/>
    </row>
    <row r="96" spans="1:21" ht="141.75" customHeight="1" x14ac:dyDescent="0.45">
      <c r="A96" s="45" t="str">
        <f>Arbejdsark!$A$300</f>
        <v>Plandisponering</v>
      </c>
      <c r="B96" s="43" t="str">
        <f>Arbejdsark!$B$311</f>
        <v>8.3</v>
      </c>
      <c r="C96" s="45" t="str">
        <f>IF('Sortering af spørgsmål'!$C$22=Projektforudsætninger!$C$26,Arbejdsark!C311,"")</f>
        <v/>
      </c>
      <c r="D96" s="46">
        <f>Arbejdsark!D93</f>
        <v>0</v>
      </c>
      <c r="E96" s="45">
        <f>Arbejdsark!I93</f>
        <v>0</v>
      </c>
      <c r="F96" s="45">
        <f>Arbejdsark!J93</f>
        <v>0</v>
      </c>
      <c r="G96" s="45" t="e">
        <f>Arbejdsark!#REF!</f>
        <v>#REF!</v>
      </c>
      <c r="H96" s="45" t="e">
        <f>Arbejdsark!#REF!</f>
        <v>#REF!</v>
      </c>
      <c r="I96" s="45" t="str">
        <f>IF('Sortering af spørgsmål'!$C$22=Projektforudsætninger!$C$26,Arbejdsark!K311,"")</f>
        <v/>
      </c>
      <c r="J96" s="41" t="s">
        <v>9</v>
      </c>
      <c r="K96" s="41"/>
      <c r="L96" s="19"/>
      <c r="M96" s="19"/>
      <c r="N96" s="19"/>
      <c r="O96" s="19"/>
      <c r="P96" s="19"/>
      <c r="Q96" s="19"/>
      <c r="R96" s="19"/>
      <c r="S96" s="19"/>
      <c r="T96" s="19"/>
      <c r="U96" s="19"/>
    </row>
    <row r="97" spans="1:21" ht="113.65" customHeight="1" x14ac:dyDescent="0.45">
      <c r="A97" s="45" t="str">
        <f>Arbejdsark!$A$300</f>
        <v>Plandisponering</v>
      </c>
      <c r="B97" s="43" t="str">
        <f>Arbejdsark!$B$316</f>
        <v>8.4</v>
      </c>
      <c r="C97" s="45" t="str">
        <f>IF('Sortering af spørgsmål'!$C$22=Projektforudsætninger!$C$26,Arbejdsark!C316,"")</f>
        <v/>
      </c>
      <c r="D97" s="46">
        <f>Arbejdsark!D94</f>
        <v>0</v>
      </c>
      <c r="E97" s="45">
        <f>Arbejdsark!I94</f>
        <v>0</v>
      </c>
      <c r="F97" s="45">
        <f>Arbejdsark!J94</f>
        <v>0</v>
      </c>
      <c r="G97" s="45" t="e">
        <f>Arbejdsark!#REF!</f>
        <v>#REF!</v>
      </c>
      <c r="H97" s="45" t="e">
        <f>Arbejdsark!#REF!</f>
        <v>#REF!</v>
      </c>
      <c r="I97" s="45" t="str">
        <f>IF('Sortering af spørgsmål'!$C$22=Projektforudsætninger!$C$26,Arbejdsark!K316,"")</f>
        <v/>
      </c>
      <c r="J97" s="41" t="s">
        <v>9</v>
      </c>
      <c r="K97" s="41"/>
      <c r="L97" s="19"/>
      <c r="M97" s="19"/>
      <c r="N97" s="19"/>
      <c r="O97" s="19"/>
      <c r="P97" s="19"/>
      <c r="Q97" s="19"/>
      <c r="R97" s="19"/>
      <c r="S97" s="19"/>
      <c r="T97" s="19"/>
      <c r="U97" s="19"/>
    </row>
    <row r="98" spans="1:21" ht="127.5" customHeight="1" x14ac:dyDescent="0.45">
      <c r="A98" s="45" t="str">
        <f>Arbejdsark!$A$300</f>
        <v>Plandisponering</v>
      </c>
      <c r="B98" s="43" t="str">
        <f>Arbejdsark!$B$321</f>
        <v>8.5</v>
      </c>
      <c r="C98" s="45" t="str">
        <f>IF('Sortering af spørgsmål'!$C$22=Projektforudsætninger!$C$26,Arbejdsark!C321,"")</f>
        <v/>
      </c>
      <c r="D98" s="46">
        <f>Arbejdsark!D95</f>
        <v>0</v>
      </c>
      <c r="E98" s="45">
        <f>Arbejdsark!I95</f>
        <v>0</v>
      </c>
      <c r="F98" s="45">
        <f>Arbejdsark!J95</f>
        <v>0</v>
      </c>
      <c r="G98" s="45" t="e">
        <f>Arbejdsark!#REF!</f>
        <v>#REF!</v>
      </c>
      <c r="H98" s="45" t="e">
        <f>Arbejdsark!#REF!</f>
        <v>#REF!</v>
      </c>
      <c r="I98" s="45" t="str">
        <f>IF('Sortering af spørgsmål'!$C$22=Projektforudsætninger!$C$26,Arbejdsark!K321,"")</f>
        <v/>
      </c>
      <c r="J98" s="41" t="s">
        <v>9</v>
      </c>
      <c r="K98" s="41"/>
      <c r="L98" s="19"/>
      <c r="M98" s="19"/>
      <c r="N98" s="19"/>
      <c r="O98" s="19"/>
      <c r="P98" s="19"/>
      <c r="Q98" s="19"/>
      <c r="R98" s="19"/>
      <c r="S98" s="19"/>
      <c r="T98" s="19"/>
      <c r="U98" s="19"/>
    </row>
    <row r="99" spans="1:21" ht="141.75" customHeight="1" x14ac:dyDescent="0.45">
      <c r="A99" s="45" t="str">
        <f>Arbejdsark!$A$300</f>
        <v>Plandisponering</v>
      </c>
      <c r="B99" s="43" t="str">
        <f>Arbejdsark!$B$326</f>
        <v>8.6</v>
      </c>
      <c r="C99" s="45" t="str">
        <f>IF('Sortering af spørgsmål'!$C$22=Projektforudsætninger!$C$26,Arbejdsark!C326,"")</f>
        <v/>
      </c>
      <c r="D99" s="46" t="e">
        <f>Arbejdsark!#REF!</f>
        <v>#REF!</v>
      </c>
      <c r="E99" s="45" t="e">
        <f>Arbejdsark!#REF!</f>
        <v>#REF!</v>
      </c>
      <c r="F99" s="45" t="e">
        <f>Arbejdsark!#REF!</f>
        <v>#REF!</v>
      </c>
      <c r="G99" s="45" t="e">
        <f>Arbejdsark!#REF!</f>
        <v>#REF!</v>
      </c>
      <c r="H99" s="45" t="e">
        <f>Arbejdsark!#REF!</f>
        <v>#REF!</v>
      </c>
      <c r="I99" s="45" t="str">
        <f>IF('Sortering af spørgsmål'!$C$22=Projektforudsætninger!$C$26,Arbejdsark!K326,"")</f>
        <v/>
      </c>
      <c r="J99" s="41" t="s">
        <v>9</v>
      </c>
      <c r="K99" s="41"/>
      <c r="L99" s="19"/>
      <c r="M99" s="19"/>
      <c r="N99" s="19"/>
      <c r="O99" s="19"/>
      <c r="P99" s="19"/>
      <c r="Q99" s="19"/>
      <c r="R99" s="19"/>
      <c r="S99" s="19"/>
      <c r="T99" s="19"/>
      <c r="U99" s="19"/>
    </row>
    <row r="100" spans="1:21" ht="141.75" customHeight="1" x14ac:dyDescent="0.45">
      <c r="A100" s="45" t="str">
        <f>Arbejdsark!$A$300</f>
        <v>Plandisponering</v>
      </c>
      <c r="B100" s="43" t="str">
        <f>Arbejdsark!$B$331</f>
        <v>8.7</v>
      </c>
      <c r="C100" s="45" t="str">
        <f>IF('Sortering af spørgsmål'!$C$22=Projektforudsætninger!$C$26,Arbejdsark!C331,"")</f>
        <v/>
      </c>
      <c r="D100" s="46" t="str">
        <f>Arbejdsark!D109</f>
        <v>ECO1.1
Vægtning: 13% af ECO1.1</v>
      </c>
      <c r="E100" s="45" t="str">
        <f>Arbejdsark!I109</f>
        <v>x</v>
      </c>
      <c r="F100" s="45">
        <f>Arbejdsark!J109</f>
        <v>0</v>
      </c>
      <c r="G100" s="45" t="e">
        <f>Arbejdsark!#REF!</f>
        <v>#REF!</v>
      </c>
      <c r="H100" s="45" t="e">
        <f>Arbejdsark!#REF!</f>
        <v>#REF!</v>
      </c>
      <c r="I100" s="45" t="str">
        <f>IF('Sortering af spørgsmål'!$C$22=Projektforudsætninger!$C$26,Arbejdsark!K331,"")</f>
        <v/>
      </c>
      <c r="J100" s="41" t="s">
        <v>9</v>
      </c>
      <c r="K100" s="41"/>
      <c r="L100" s="19"/>
      <c r="M100" s="19"/>
      <c r="N100" s="19"/>
      <c r="O100" s="19"/>
      <c r="P100" s="19"/>
      <c r="Q100" s="19"/>
      <c r="R100" s="19"/>
      <c r="S100" s="19"/>
      <c r="T100" s="19"/>
      <c r="U100" s="19"/>
    </row>
    <row r="101" spans="1:21" ht="141.75" customHeight="1" x14ac:dyDescent="0.45">
      <c r="A101" s="45" t="str">
        <f>Arbejdsark!$A$300</f>
        <v>Plandisponering</v>
      </c>
      <c r="B101" s="43" t="str">
        <f>Arbejdsark!$B$336</f>
        <v>8.8</v>
      </c>
      <c r="C101" s="45" t="str">
        <f>IF('Sortering af spørgsmål'!$C$22=Projektforudsætninger!$C$26,Arbejdsark!C336,"")</f>
        <v/>
      </c>
      <c r="D101" s="46">
        <f>Arbejdsark!D110</f>
        <v>0</v>
      </c>
      <c r="E101" s="45">
        <f>Arbejdsark!I110</f>
        <v>0</v>
      </c>
      <c r="F101" s="45">
        <f>Arbejdsark!J110</f>
        <v>0</v>
      </c>
      <c r="G101" s="45" t="e">
        <f>Arbejdsark!#REF!</f>
        <v>#REF!</v>
      </c>
      <c r="H101" s="45" t="e">
        <f>Arbejdsark!#REF!</f>
        <v>#REF!</v>
      </c>
      <c r="I101" s="45" t="str">
        <f>IF('Sortering af spørgsmål'!$C$22=Projektforudsætninger!$C$26,Arbejdsark!K336,"")</f>
        <v/>
      </c>
      <c r="J101" s="41" t="s">
        <v>9</v>
      </c>
      <c r="K101" s="41"/>
      <c r="L101" s="19"/>
      <c r="M101" s="19"/>
      <c r="N101" s="19"/>
      <c r="O101" s="19"/>
      <c r="P101" s="19"/>
      <c r="Q101" s="19"/>
      <c r="R101" s="19"/>
      <c r="S101" s="19"/>
      <c r="T101" s="19"/>
      <c r="U101" s="19"/>
    </row>
    <row r="102" spans="1:21" ht="141.75" customHeight="1" x14ac:dyDescent="0.45">
      <c r="A102" s="45" t="str">
        <f>Arbejdsark!$A$300</f>
        <v>Plandisponering</v>
      </c>
      <c r="B102" s="43" t="str">
        <f>Arbejdsark!$B$341</f>
        <v>8.9</v>
      </c>
      <c r="C102" s="45" t="str">
        <f>IF('Sortering af spørgsmål'!$C$22=Projektforudsætninger!$C$26,Arbejdsark!C341,"")</f>
        <v/>
      </c>
      <c r="D102" s="46">
        <f>Arbejdsark!D111</f>
        <v>0</v>
      </c>
      <c r="E102" s="45">
        <f>Arbejdsark!I111</f>
        <v>0</v>
      </c>
      <c r="F102" s="45">
        <f>Arbejdsark!J111</f>
        <v>0</v>
      </c>
      <c r="G102" s="45" t="e">
        <f>Arbejdsark!#REF!</f>
        <v>#REF!</v>
      </c>
      <c r="H102" s="45" t="e">
        <f>Arbejdsark!#REF!</f>
        <v>#REF!</v>
      </c>
      <c r="I102" s="45" t="str">
        <f>IF('Sortering af spørgsmål'!$C$22=Projektforudsætninger!$C$26,Arbejdsark!K341,"")</f>
        <v/>
      </c>
      <c r="J102" s="41" t="s">
        <v>9</v>
      </c>
      <c r="K102" s="41"/>
      <c r="L102" s="19"/>
      <c r="M102" s="19"/>
      <c r="N102" s="19"/>
      <c r="O102" s="19"/>
      <c r="P102" s="19"/>
      <c r="Q102" s="19"/>
      <c r="R102" s="19"/>
      <c r="S102" s="19"/>
      <c r="T102" s="19"/>
      <c r="U102" s="19"/>
    </row>
    <row r="103" spans="1:21" ht="141.75" customHeight="1" x14ac:dyDescent="0.45">
      <c r="A103" s="45" t="str">
        <f>Arbejdsark!$A$300</f>
        <v>Plandisponering</v>
      </c>
      <c r="B103" s="43" t="str">
        <f>Arbejdsark!$B$346</f>
        <v>8.10</v>
      </c>
      <c r="C103" s="45" t="str">
        <f>IF('Sortering af spørgsmål'!$C$22=Projektforudsætninger!$C$26,Arbejdsark!C346,"")</f>
        <v/>
      </c>
      <c r="D103" s="46">
        <f>Arbejdsark!D112</f>
        <v>0</v>
      </c>
      <c r="E103" s="45">
        <f>Arbejdsark!I112</f>
        <v>0</v>
      </c>
      <c r="F103" s="45">
        <f>Arbejdsark!J112</f>
        <v>0</v>
      </c>
      <c r="G103" s="45" t="e">
        <f>Arbejdsark!#REF!</f>
        <v>#REF!</v>
      </c>
      <c r="H103" s="45" t="e">
        <f>Arbejdsark!#REF!</f>
        <v>#REF!</v>
      </c>
      <c r="I103" s="45" t="str">
        <f>IF('Sortering af spørgsmål'!$C$22=Projektforudsætninger!$C$26,Arbejdsark!K346,"")</f>
        <v/>
      </c>
      <c r="J103" s="41" t="s">
        <v>9</v>
      </c>
      <c r="K103" s="41"/>
      <c r="L103" s="19"/>
      <c r="M103" s="19"/>
      <c r="N103" s="19"/>
      <c r="O103" s="19"/>
      <c r="P103" s="19"/>
      <c r="Q103" s="19"/>
      <c r="R103" s="19"/>
      <c r="S103" s="19"/>
      <c r="T103" s="19"/>
      <c r="U103" s="19"/>
    </row>
    <row r="104" spans="1:21" ht="85.15" customHeight="1" x14ac:dyDescent="0.45">
      <c r="A104" s="45" t="str">
        <f>Arbejdsark!$A$300</f>
        <v>Plandisponering</v>
      </c>
      <c r="B104" s="43" t="str">
        <f>Arbejdsark!$B$351</f>
        <v>8.11</v>
      </c>
      <c r="C104" s="45" t="str">
        <f>IF('Sortering af spørgsmål'!$C$22=Projektforudsætninger!$C$26,Arbejdsark!C351,"")</f>
        <v/>
      </c>
      <c r="D104" s="46">
        <f>Arbejdsark!D113</f>
        <v>0</v>
      </c>
      <c r="E104" s="45">
        <f>Arbejdsark!I113</f>
        <v>0</v>
      </c>
      <c r="F104" s="45">
        <f>Arbejdsark!J113</f>
        <v>0</v>
      </c>
      <c r="G104" s="45" t="e">
        <f>Arbejdsark!#REF!</f>
        <v>#REF!</v>
      </c>
      <c r="H104" s="45" t="e">
        <f>Arbejdsark!#REF!</f>
        <v>#REF!</v>
      </c>
      <c r="I104" s="45" t="str">
        <f>IF('Sortering af spørgsmål'!$C$22=Projektforudsætninger!$C$26,Arbejdsark!K351,"")</f>
        <v/>
      </c>
      <c r="J104" s="41" t="s">
        <v>9</v>
      </c>
      <c r="K104" s="41"/>
    </row>
    <row r="105" spans="1:21" ht="113.65" customHeight="1" x14ac:dyDescent="0.45">
      <c r="A105" s="45" t="str">
        <f>Arbejdsark!$A$300</f>
        <v>Plandisponering</v>
      </c>
      <c r="B105" s="43" t="str">
        <f>Arbejdsark!$B$356</f>
        <v>8.12</v>
      </c>
      <c r="C105" s="45" t="str">
        <f>IF('Sortering af spørgsmål'!$C$22=Projektforudsætninger!$C$26,Arbejdsark!C356,"")</f>
        <v/>
      </c>
      <c r="D105" s="46">
        <f>Arbejdsark!D113</f>
        <v>0</v>
      </c>
      <c r="E105" s="45">
        <f>Arbejdsark!I113</f>
        <v>0</v>
      </c>
      <c r="F105" s="45">
        <f>Arbejdsark!J113</f>
        <v>0</v>
      </c>
      <c r="G105" s="45" t="e">
        <f>Arbejdsark!#REF!</f>
        <v>#REF!</v>
      </c>
      <c r="H105" s="45" t="e">
        <f>Arbejdsark!#REF!</f>
        <v>#REF!</v>
      </c>
      <c r="I105" s="45" t="str">
        <f>IF('Sortering af spørgsmål'!$C$22=Projektforudsætninger!$C$26,Arbejdsark!K356,"")</f>
        <v/>
      </c>
      <c r="J105" s="41" t="s">
        <v>9</v>
      </c>
      <c r="K105" s="41"/>
    </row>
    <row r="106" spans="1:21" ht="141.75" customHeight="1" x14ac:dyDescent="0.45">
      <c r="A106" s="45" t="str">
        <f>Arbejdsark!$A$300</f>
        <v>Plandisponering</v>
      </c>
      <c r="B106" s="43" t="str">
        <f>Arbejdsark!$B$361</f>
        <v>8.13</v>
      </c>
      <c r="C106" s="45" t="str">
        <f>IF('Sortering af spørgsmål'!$C$22=Projektforudsætninger!$C$26,Arbejdsark!C361,"")</f>
        <v/>
      </c>
      <c r="D106" s="46" t="str">
        <f>Arbejdsark!D114</f>
        <v>ECO2.1
Vægtning: ECO2.1 pkt 2</v>
      </c>
      <c r="E106" s="45" t="str">
        <f>Arbejdsark!I114</f>
        <v>x</v>
      </c>
      <c r="F106" s="45">
        <f>Arbejdsark!J114</f>
        <v>0</v>
      </c>
      <c r="G106" s="45" t="e">
        <f>Arbejdsark!#REF!</f>
        <v>#REF!</v>
      </c>
      <c r="H106" s="45" t="e">
        <f>Arbejdsark!#REF!</f>
        <v>#REF!</v>
      </c>
      <c r="I106" s="45" t="str">
        <f>IF('Sortering af spørgsmål'!$C$22=Projektforudsætninger!$C$26,Arbejdsark!K361,"")</f>
        <v/>
      </c>
      <c r="J106" s="41" t="s">
        <v>9</v>
      </c>
      <c r="K106" s="41"/>
    </row>
    <row r="107" spans="1:21" ht="99.4" customHeight="1" x14ac:dyDescent="0.45">
      <c r="A107" s="45" t="str">
        <f>Arbejdsark!$A$300</f>
        <v>Plandisponering</v>
      </c>
      <c r="B107" s="43" t="str">
        <f>Arbejdsark!$B$366</f>
        <v>8.14</v>
      </c>
      <c r="C107" s="45" t="str">
        <f>IF('Sortering af spørgsmål'!$C$22=Projektforudsætninger!$C$26,Arbejdsark!C366,"")</f>
        <v/>
      </c>
      <c r="D107" s="46"/>
      <c r="E107" s="45"/>
      <c r="F107" s="45"/>
      <c r="G107" s="45"/>
      <c r="H107" s="45"/>
      <c r="I107" s="45" t="str">
        <f>IF('Sortering af spørgsmål'!$C$22=Projektforudsætninger!$C$26,Arbejdsark!K366,"")</f>
        <v/>
      </c>
      <c r="J107" s="41" t="s">
        <v>9</v>
      </c>
      <c r="K107" s="41"/>
    </row>
    <row r="108" spans="1:21" ht="85.15" customHeight="1" x14ac:dyDescent="0.45">
      <c r="A108" s="45" t="str">
        <f>Arbejdsark!$A$300</f>
        <v>Plandisponering</v>
      </c>
      <c r="B108" s="43" t="str">
        <f>Arbejdsark!$B$371</f>
        <v>8.15</v>
      </c>
      <c r="C108" s="45" t="str">
        <f>IF('Sortering af spørgsmål'!$C$22=Projektforudsætninger!$C$26,Arbejdsark!C371,"")</f>
        <v/>
      </c>
      <c r="D108" s="46">
        <f>Arbejdsark!D115</f>
        <v>0</v>
      </c>
      <c r="E108" s="45">
        <f>Arbejdsark!I115</f>
        <v>0</v>
      </c>
      <c r="F108" s="45">
        <f>Arbejdsark!J115</f>
        <v>0</v>
      </c>
      <c r="G108" s="45" t="e">
        <f>Arbejdsark!#REF!</f>
        <v>#REF!</v>
      </c>
      <c r="H108" s="45" t="e">
        <f>Arbejdsark!#REF!</f>
        <v>#REF!</v>
      </c>
      <c r="I108" s="45" t="str">
        <f>IF('Sortering af spørgsmål'!$C$22=Projektforudsætninger!$C$26,Arbejdsark!K371,"")</f>
        <v/>
      </c>
      <c r="J108" s="41" t="s">
        <v>9</v>
      </c>
      <c r="K108" s="41"/>
    </row>
    <row r="109" spans="1:21" x14ac:dyDescent="0.45">
      <c r="A109" s="45"/>
      <c r="B109" s="45"/>
      <c r="C109" s="45"/>
      <c r="D109" s="46"/>
      <c r="E109" s="45"/>
      <c r="F109" s="45"/>
      <c r="G109" s="45"/>
      <c r="H109" s="45"/>
      <c r="I109" s="45"/>
      <c r="J109" s="47"/>
      <c r="K109" s="47"/>
    </row>
    <row r="110" spans="1:21" ht="28.5" customHeight="1" x14ac:dyDescent="0.45">
      <c r="A110" s="274" t="str">
        <f>Arbejdsark!$A$376</f>
        <v>TEKNISK KVALITET</v>
      </c>
      <c r="B110" s="274"/>
      <c r="C110" s="274"/>
      <c r="D110" s="274"/>
      <c r="E110" s="274"/>
      <c r="F110" s="274"/>
      <c r="G110" s="274"/>
      <c r="H110" s="274"/>
      <c r="I110" s="275"/>
      <c r="J110" s="276"/>
      <c r="K110" s="276"/>
    </row>
    <row r="111" spans="1:21" ht="28.5" customHeight="1" x14ac:dyDescent="0.45">
      <c r="A111" s="58" t="str">
        <f>$A$4</f>
        <v>Tema</v>
      </c>
      <c r="B111" s="58" t="str">
        <f t="shared" ref="B111" si="2">B4</f>
        <v>ID</v>
      </c>
      <c r="C111" s="58" t="str">
        <f>$C$4</f>
        <v>Emne</v>
      </c>
      <c r="D111" s="58" t="str">
        <f>D4</f>
        <v>DGNB kriterium</v>
      </c>
      <c r="E111" s="58" t="str">
        <f>E4</f>
        <v>Byggeudvalg eller Hovedbestyrelse</v>
      </c>
      <c r="F111" s="58" t="str">
        <f>F4</f>
        <v>Projektleder</v>
      </c>
      <c r="G111" s="58" t="str">
        <f>G4</f>
        <v>#REFERENCE!</v>
      </c>
      <c r="H111" s="58" t="str">
        <f>H4</f>
        <v>Ikon</v>
      </c>
      <c r="I111" s="58" t="str">
        <f>$I$4</f>
        <v>Spørgsmål</v>
      </c>
      <c r="J111" s="59" t="str">
        <f>$J$4</f>
        <v>Svar</v>
      </c>
      <c r="K111" s="59" t="str">
        <f>$K$4</f>
        <v>Uddybende kommentarer</v>
      </c>
    </row>
    <row r="112" spans="1:21" ht="28.5" customHeight="1" x14ac:dyDescent="0.45">
      <c r="A112" s="274" t="str">
        <f>Arbejdsark!$A$378</f>
        <v>Personsikkerhed</v>
      </c>
      <c r="B112" s="274">
        <v>1</v>
      </c>
      <c r="C112" s="274"/>
      <c r="D112" s="274"/>
      <c r="E112" s="274"/>
      <c r="F112" s="274"/>
      <c r="G112" s="274"/>
      <c r="H112" s="274"/>
      <c r="I112" s="275" t="str">
        <f>IF('Sortering af spørgsmål'!$C$23=Projektforudsætninger!$C$26,"Udfyld spørgsmål","Ingen spørgsmål")</f>
        <v>Ingen spørgsmål</v>
      </c>
      <c r="J112" s="276"/>
      <c r="K112" s="276"/>
    </row>
    <row r="113" spans="1:11" ht="99.4" customHeight="1" x14ac:dyDescent="0.45">
      <c r="A113" s="45" t="str">
        <f>Arbejdsark!$A$378</f>
        <v>Personsikkerhed</v>
      </c>
      <c r="B113" s="43" t="str">
        <f>Arbejdsark!$B$378</f>
        <v>1.1</v>
      </c>
      <c r="C113" s="45" t="str">
        <f>IF('Sortering af spørgsmål'!$C$23=Projektforudsætninger!$C$26,Arbejdsark!C378,"")</f>
        <v/>
      </c>
      <c r="D113" s="46">
        <f>Arbejdsark!D120</f>
        <v>0</v>
      </c>
      <c r="E113" s="45">
        <f>Arbejdsark!I120</f>
        <v>0</v>
      </c>
      <c r="F113" s="45">
        <f>Arbejdsark!J120</f>
        <v>0</v>
      </c>
      <c r="G113" s="45" t="e">
        <f>Arbejdsark!#REF!</f>
        <v>#REF!</v>
      </c>
      <c r="H113" s="45" t="e">
        <f>Arbejdsark!#REF!</f>
        <v>#REF!</v>
      </c>
      <c r="I113" s="45" t="str">
        <f>IF('Sortering af spørgsmål'!$C$23=Projektforudsætninger!$C$26,Arbejdsark!K378,"")</f>
        <v/>
      </c>
      <c r="J113" s="41" t="s">
        <v>9</v>
      </c>
      <c r="K113" s="41"/>
    </row>
    <row r="114" spans="1:11" ht="99.4" customHeight="1" x14ac:dyDescent="0.45">
      <c r="A114" s="45" t="str">
        <f>Arbejdsark!$A$378</f>
        <v>Personsikkerhed</v>
      </c>
      <c r="B114" s="43" t="str">
        <f>Arbejdsark!$B$383</f>
        <v>1.2</v>
      </c>
      <c r="C114" s="45" t="str">
        <f>IF('Sortering af spørgsmål'!$C$23=Projektforudsætninger!$C$26,Arbejdsark!C383,"")</f>
        <v/>
      </c>
      <c r="D114" s="46"/>
      <c r="E114" s="45"/>
      <c r="F114" s="45"/>
      <c r="G114" s="45"/>
      <c r="H114" s="45"/>
      <c r="I114" s="45" t="str">
        <f>IF('Sortering af spørgsmål'!$C$23=Projektforudsætninger!$C$26,Arbejdsark!K383,"")</f>
        <v/>
      </c>
      <c r="J114" s="41" t="s">
        <v>9</v>
      </c>
      <c r="K114" s="41"/>
    </row>
    <row r="115" spans="1:11" x14ac:dyDescent="0.45">
      <c r="A115" s="45"/>
      <c r="B115" s="45"/>
      <c r="C115" s="45"/>
      <c r="D115" s="46"/>
      <c r="E115" s="45"/>
      <c r="F115" s="45"/>
      <c r="G115" s="45"/>
      <c r="H115" s="45"/>
      <c r="I115" s="45"/>
      <c r="J115" s="47"/>
      <c r="K115" s="47"/>
    </row>
    <row r="116" spans="1:11" ht="28.5" customHeight="1" x14ac:dyDescent="0.45">
      <c r="A116" s="274" t="str">
        <f>Arbejdsark!$A$388</f>
        <v>Klimaskærmens kvalitet</v>
      </c>
      <c r="B116" s="274">
        <v>2</v>
      </c>
      <c r="C116" s="274"/>
      <c r="D116" s="274"/>
      <c r="E116" s="274"/>
      <c r="F116" s="274"/>
      <c r="G116" s="274"/>
      <c r="H116" s="274"/>
      <c r="I116" s="275" t="str">
        <f>IF('Sortering af spørgsmål'!$C$24=Projektforudsætninger!$C$26,"Udfyld spørgsmål","Ingen spørgsmål")</f>
        <v>Ingen spørgsmål</v>
      </c>
      <c r="J116" s="276"/>
      <c r="K116" s="276"/>
    </row>
    <row r="117" spans="1:11" ht="113.65" customHeight="1" x14ac:dyDescent="0.45">
      <c r="A117" s="45" t="str">
        <f>Arbejdsark!$A$388</f>
        <v>Klimaskærmens kvalitet</v>
      </c>
      <c r="B117" s="43" t="str">
        <f>Arbejdsark!$B$388</f>
        <v>2.1</v>
      </c>
      <c r="C117" s="45" t="str">
        <f>IF('Sortering af spørgsmål'!$C$24=Projektforudsætninger!$C$26,Arbejdsark!C388,"")</f>
        <v/>
      </c>
      <c r="D117" s="46">
        <f>Arbejdsark!D125</f>
        <v>0</v>
      </c>
      <c r="E117" s="45">
        <f>Arbejdsark!I125</f>
        <v>0</v>
      </c>
      <c r="F117" s="45">
        <f>Arbejdsark!J125</f>
        <v>0</v>
      </c>
      <c r="G117" s="45" t="e">
        <f>Arbejdsark!#REF!</f>
        <v>#REF!</v>
      </c>
      <c r="H117" s="45" t="e">
        <f>Arbejdsark!#REF!</f>
        <v>#REF!</v>
      </c>
      <c r="I117" s="45" t="str">
        <f>IF('Sortering af spørgsmål'!$C$24=Projektforudsætninger!$C$26,Arbejdsark!K388,"")</f>
        <v/>
      </c>
      <c r="J117" s="41" t="s">
        <v>9</v>
      </c>
      <c r="K117" s="41"/>
    </row>
    <row r="118" spans="1:11" ht="113.65" customHeight="1" x14ac:dyDescent="0.45">
      <c r="A118" s="45" t="str">
        <f>Arbejdsark!$A$388</f>
        <v>Klimaskærmens kvalitet</v>
      </c>
      <c r="B118" s="43" t="str">
        <f>Arbejdsark!$B$393</f>
        <v>2.2</v>
      </c>
      <c r="C118" s="45" t="str">
        <f>IF('Sortering af spørgsmål'!$C$24=Projektforudsætninger!$C$26,Arbejdsark!C393,"")</f>
        <v/>
      </c>
      <c r="D118" s="46">
        <f>Arbejdsark!D126</f>
        <v>0</v>
      </c>
      <c r="E118" s="45">
        <f>Arbejdsark!I126</f>
        <v>0</v>
      </c>
      <c r="F118" s="45">
        <f>Arbejdsark!J126</f>
        <v>0</v>
      </c>
      <c r="G118" s="45" t="e">
        <f>Arbejdsark!#REF!</f>
        <v>#REF!</v>
      </c>
      <c r="H118" s="45" t="e">
        <f>Arbejdsark!#REF!</f>
        <v>#REF!</v>
      </c>
      <c r="I118" s="45" t="str">
        <f>IF('Sortering af spørgsmål'!$C$24=Projektforudsætninger!$C$26,Arbejdsark!K393,"")</f>
        <v/>
      </c>
      <c r="J118" s="41" t="s">
        <v>9</v>
      </c>
      <c r="K118" s="41"/>
    </row>
    <row r="119" spans="1:11" ht="113.65" customHeight="1" x14ac:dyDescent="0.45">
      <c r="A119" s="45" t="str">
        <f>Arbejdsark!$A$388</f>
        <v>Klimaskærmens kvalitet</v>
      </c>
      <c r="B119" s="43" t="str">
        <f>Arbejdsark!$B$398</f>
        <v>2.3</v>
      </c>
      <c r="C119" s="45" t="str">
        <f>IF('Sortering af spørgsmål'!$C$24=Projektforudsætninger!$C$26,Arbejdsark!C398,"")</f>
        <v/>
      </c>
      <c r="D119" s="46">
        <f>Arbejdsark!D127</f>
        <v>0</v>
      </c>
      <c r="E119" s="45">
        <f>Arbejdsark!I127</f>
        <v>0</v>
      </c>
      <c r="F119" s="45">
        <f>Arbejdsark!J127</f>
        <v>0</v>
      </c>
      <c r="G119" s="45" t="e">
        <f>Arbejdsark!#REF!</f>
        <v>#REF!</v>
      </c>
      <c r="H119" s="45" t="e">
        <f>Arbejdsark!#REF!</f>
        <v>#REF!</v>
      </c>
      <c r="I119" s="45" t="str">
        <f>IF('Sortering af spørgsmål'!$C$24=Projektforudsætninger!$C$26,Arbejdsark!K398,"")</f>
        <v/>
      </c>
      <c r="J119" s="41" t="s">
        <v>9</v>
      </c>
      <c r="K119" s="41"/>
    </row>
    <row r="120" spans="1:11" ht="141.75" customHeight="1" x14ac:dyDescent="0.45">
      <c r="A120" s="45" t="str">
        <f>Arbejdsark!$A$388</f>
        <v>Klimaskærmens kvalitet</v>
      </c>
      <c r="B120" s="43" t="str">
        <f>Arbejdsark!$B$403</f>
        <v>2.4</v>
      </c>
      <c r="C120" s="45" t="str">
        <f>IF('Sortering af spørgsmål'!$C$24=Projektforudsætninger!$C$26,Arbejdsark!C403,"")</f>
        <v/>
      </c>
      <c r="D120" s="46">
        <f>Arbejdsark!D128</f>
        <v>0</v>
      </c>
      <c r="E120" s="45">
        <f>Arbejdsark!I128</f>
        <v>0</v>
      </c>
      <c r="F120" s="45">
        <f>Arbejdsark!J128</f>
        <v>0</v>
      </c>
      <c r="G120" s="45" t="e">
        <f>Arbejdsark!#REF!</f>
        <v>#REF!</v>
      </c>
      <c r="H120" s="45" t="e">
        <f>Arbejdsark!#REF!</f>
        <v>#REF!</v>
      </c>
      <c r="I120" s="45" t="str">
        <f>IF('Sortering af spørgsmål'!$C$24=Projektforudsætninger!$C$26,Arbejdsark!K403,"")</f>
        <v/>
      </c>
      <c r="J120" s="41" t="s">
        <v>9</v>
      </c>
      <c r="K120" s="41"/>
    </row>
    <row r="121" spans="1:11" ht="56.85" customHeight="1" x14ac:dyDescent="0.45">
      <c r="A121" s="45" t="str">
        <f>Arbejdsark!$A$388</f>
        <v>Klimaskærmens kvalitet</v>
      </c>
      <c r="B121" s="43" t="str">
        <f>Arbejdsark!$B$408</f>
        <v>2.5</v>
      </c>
      <c r="C121" s="45" t="str">
        <f>IF('Sortering af spørgsmål'!$C$24=Projektforudsætninger!$C$26,Arbejdsark!C408,"")</f>
        <v/>
      </c>
      <c r="D121" s="46"/>
      <c r="E121" s="45"/>
      <c r="F121" s="45"/>
      <c r="G121" s="45"/>
      <c r="H121" s="45"/>
      <c r="I121" s="45" t="str">
        <f>IF('Sortering af spørgsmål'!$C$24=Projektforudsætninger!$C$26,Arbejdsark!K408,"")</f>
        <v/>
      </c>
      <c r="J121" s="41" t="s">
        <v>9</v>
      </c>
      <c r="K121" s="41"/>
    </row>
    <row r="122" spans="1:11" ht="85.15" customHeight="1" x14ac:dyDescent="0.45">
      <c r="A122" s="45" t="str">
        <f>Arbejdsark!$A$388</f>
        <v>Klimaskærmens kvalitet</v>
      </c>
      <c r="B122" s="43" t="str">
        <f>Arbejdsark!$B$413</f>
        <v>2.6</v>
      </c>
      <c r="C122" s="45" t="str">
        <f>IF('Sortering af spørgsmål'!$C$24=Projektforudsætninger!$C$26,Arbejdsark!C413,"")</f>
        <v/>
      </c>
      <c r="D122" s="46" t="str">
        <f>Arbejdsark!D129</f>
        <v>ECO2.1
Vægtning: ECO2.1 pkt 5</v>
      </c>
      <c r="E122" s="45" t="str">
        <f>Arbejdsark!I129</f>
        <v>x</v>
      </c>
      <c r="F122" s="45">
        <f>Arbejdsark!J129</f>
        <v>0</v>
      </c>
      <c r="G122" s="45" t="e">
        <f>Arbejdsark!#REF!</f>
        <v>#REF!</v>
      </c>
      <c r="H122" s="45" t="e">
        <f>Arbejdsark!#REF!</f>
        <v>#REF!</v>
      </c>
      <c r="I122" s="45" t="str">
        <f>IF('Sortering af spørgsmål'!$C$24=Projektforudsætninger!$C$26,Arbejdsark!K413,"")</f>
        <v/>
      </c>
      <c r="J122" s="41" t="s">
        <v>9</v>
      </c>
      <c r="K122" s="41"/>
    </row>
    <row r="123" spans="1:11" ht="85.15" customHeight="1" x14ac:dyDescent="0.45">
      <c r="A123" s="45" t="str">
        <f>Arbejdsark!$A$388</f>
        <v>Klimaskærmens kvalitet</v>
      </c>
      <c r="B123" s="43" t="str">
        <f>Arbejdsark!$B$418</f>
        <v>2.7</v>
      </c>
      <c r="C123" s="45" t="str">
        <f>IF('Sortering af spørgsmål'!$C$24=Projektforudsætninger!$C$26,Arbejdsark!C418,"")</f>
        <v/>
      </c>
      <c r="D123" s="46">
        <f>Arbejdsark!D130</f>
        <v>0</v>
      </c>
      <c r="E123" s="45">
        <f>Arbejdsark!I130</f>
        <v>0</v>
      </c>
      <c r="F123" s="45">
        <f>Arbejdsark!J130</f>
        <v>0</v>
      </c>
      <c r="G123" s="45" t="e">
        <f>Arbejdsark!#REF!</f>
        <v>#REF!</v>
      </c>
      <c r="H123" s="45" t="e">
        <f>Arbejdsark!#REF!</f>
        <v>#REF!</v>
      </c>
      <c r="I123" s="45" t="str">
        <f>IF('Sortering af spørgsmål'!$C$24=Projektforudsætninger!$C$26,Arbejdsark!K418,"")</f>
        <v/>
      </c>
      <c r="J123" s="41" t="s">
        <v>9</v>
      </c>
      <c r="K123" s="41"/>
    </row>
    <row r="124" spans="1:11" x14ac:dyDescent="0.45">
      <c r="A124" s="45"/>
      <c r="B124" s="45"/>
      <c r="C124" s="45"/>
      <c r="D124" s="46"/>
      <c r="E124" s="45"/>
      <c r="F124" s="45"/>
      <c r="G124" s="45"/>
      <c r="H124" s="45"/>
      <c r="I124" s="45"/>
      <c r="J124" s="47"/>
      <c r="K124" s="47"/>
    </row>
    <row r="125" spans="1:11" ht="28.5" customHeight="1" x14ac:dyDescent="0.45">
      <c r="A125" s="274" t="str">
        <f>Arbejdsark!$A$424</f>
        <v>Renhold og vedligehold</v>
      </c>
      <c r="B125" s="274">
        <v>3</v>
      </c>
      <c r="C125" s="274"/>
      <c r="D125" s="274"/>
      <c r="E125" s="274"/>
      <c r="F125" s="274"/>
      <c r="G125" s="274"/>
      <c r="H125" s="274"/>
      <c r="I125" s="275" t="str">
        <f>IF('Sortering af spørgsmål'!$C$25=Projektforudsætninger!$C$26,"Udfyld spørgsmål","Ingen spørgsmål")</f>
        <v>Ingen spørgsmål</v>
      </c>
      <c r="J125" s="276"/>
      <c r="K125" s="276"/>
    </row>
    <row r="126" spans="1:11" ht="113.65" customHeight="1" x14ac:dyDescent="0.45">
      <c r="A126" s="45" t="str">
        <f>Arbejdsark!$A$424</f>
        <v>Renhold og vedligehold</v>
      </c>
      <c r="B126" s="43" t="str">
        <f>Arbejdsark!$B$424</f>
        <v>3.1</v>
      </c>
      <c r="C126" s="45" t="str">
        <f>IF('Sortering af spørgsmål'!$C$25=Projektforudsætninger!$C$26,Arbejdsark!C424,"")</f>
        <v/>
      </c>
      <c r="D126" s="46" t="str">
        <f>Arbejdsark!D134</f>
        <v>ECO2.1
Vægtning: 75% af ECO2.1 pkt 6</v>
      </c>
      <c r="E126" s="45" t="str">
        <f>Arbejdsark!I134</f>
        <v>x</v>
      </c>
      <c r="F126" s="45">
        <f>Arbejdsark!J134</f>
        <v>0</v>
      </c>
      <c r="G126" s="45" t="e">
        <f>Arbejdsark!#REF!</f>
        <v>#REF!</v>
      </c>
      <c r="H126" s="45" t="e">
        <f>Arbejdsark!#REF!</f>
        <v>#REF!</v>
      </c>
      <c r="I126" s="45" t="str">
        <f>IF('Sortering af spørgsmål'!$C$25=Projektforudsætninger!$C$26,Arbejdsark!K424,"")</f>
        <v/>
      </c>
      <c r="J126" s="41" t="s">
        <v>9</v>
      </c>
      <c r="K126" s="41"/>
    </row>
    <row r="127" spans="1:11" ht="113.65" customHeight="1" x14ac:dyDescent="0.45">
      <c r="A127" s="45" t="str">
        <f>Arbejdsark!$A$424</f>
        <v>Renhold og vedligehold</v>
      </c>
      <c r="B127" s="43" t="str">
        <f>Arbejdsark!$B$429</f>
        <v>3.2</v>
      </c>
      <c r="C127" s="45" t="str">
        <f>IF('Sortering af spørgsmål'!$C$25=Projektforudsætninger!$C$26,Arbejdsark!C429,"")</f>
        <v/>
      </c>
      <c r="D127" s="46">
        <f>Arbejdsark!D135</f>
        <v>0</v>
      </c>
      <c r="E127" s="45">
        <f>Arbejdsark!I135</f>
        <v>0</v>
      </c>
      <c r="F127" s="45">
        <f>Arbejdsark!J135</f>
        <v>0</v>
      </c>
      <c r="G127" s="45" t="e">
        <f>Arbejdsark!#REF!</f>
        <v>#REF!</v>
      </c>
      <c r="H127" s="45" t="e">
        <f>Arbejdsark!#REF!</f>
        <v>#REF!</v>
      </c>
      <c r="I127" s="45" t="str">
        <f>IF('Sortering af spørgsmål'!$C$25=Projektforudsætninger!$C$26,Arbejdsark!K429,"")</f>
        <v/>
      </c>
      <c r="J127" s="41" t="s">
        <v>9</v>
      </c>
      <c r="K127" s="41"/>
    </row>
    <row r="128" spans="1:11" ht="156" customHeight="1" x14ac:dyDescent="0.45">
      <c r="A128" s="45" t="str">
        <f>Arbejdsark!$A$424</f>
        <v>Renhold og vedligehold</v>
      </c>
      <c r="B128" s="43" t="str">
        <f>Arbejdsark!$B$434</f>
        <v>3.3</v>
      </c>
      <c r="C128" s="45" t="str">
        <f>IF('Sortering af spørgsmål'!$C$25=Projektforudsætninger!$C$26,Arbejdsark!C434,"")</f>
        <v/>
      </c>
      <c r="D128" s="46">
        <f>Arbejdsark!D136</f>
        <v>0</v>
      </c>
      <c r="E128" s="45">
        <f>Arbejdsark!I136</f>
        <v>0</v>
      </c>
      <c r="F128" s="45">
        <f>Arbejdsark!J136</f>
        <v>0</v>
      </c>
      <c r="G128" s="45" t="e">
        <f>Arbejdsark!#REF!</f>
        <v>#REF!</v>
      </c>
      <c r="H128" s="45" t="e">
        <f>Arbejdsark!#REF!</f>
        <v>#REF!</v>
      </c>
      <c r="I128" s="45" t="str">
        <f>IF('Sortering af spørgsmål'!$C$25=Projektforudsætninger!$C$26,Arbejdsark!K434,"")</f>
        <v/>
      </c>
      <c r="J128" s="41" t="s">
        <v>9</v>
      </c>
      <c r="K128" s="41"/>
    </row>
    <row r="129" spans="1:11" ht="99.4" customHeight="1" x14ac:dyDescent="0.45">
      <c r="A129" s="45" t="str">
        <f>Arbejdsark!$A$424</f>
        <v>Renhold og vedligehold</v>
      </c>
      <c r="B129" s="43" t="str">
        <f>Arbejdsark!$B$439</f>
        <v>3.4</v>
      </c>
      <c r="C129" s="45" t="str">
        <f>IF('Sortering af spørgsmål'!$C$25=Projektforudsætninger!$C$26,Arbejdsark!C439,"")</f>
        <v/>
      </c>
      <c r="D129" s="46">
        <f>Arbejdsark!D137</f>
        <v>0</v>
      </c>
      <c r="E129" s="45">
        <f>Arbejdsark!I137</f>
        <v>0</v>
      </c>
      <c r="F129" s="45">
        <f>Arbejdsark!J137</f>
        <v>0</v>
      </c>
      <c r="G129" s="45" t="e">
        <f>Arbejdsark!#REF!</f>
        <v>#REF!</v>
      </c>
      <c r="H129" s="45" t="e">
        <f>Arbejdsark!#REF!</f>
        <v>#REF!</v>
      </c>
      <c r="I129" s="45" t="str">
        <f>IF('Sortering af spørgsmål'!$C$25=Projektforudsætninger!$C$26,Arbejdsark!K439,"")</f>
        <v/>
      </c>
      <c r="J129" s="41" t="s">
        <v>9</v>
      </c>
      <c r="K129" s="41"/>
    </row>
    <row r="130" spans="1:11" ht="141.75" customHeight="1" x14ac:dyDescent="0.45">
      <c r="A130" s="45" t="str">
        <f>Arbejdsark!$A$424</f>
        <v>Renhold og vedligehold</v>
      </c>
      <c r="B130" s="43" t="str">
        <f>Arbejdsark!$B$444</f>
        <v>3.5</v>
      </c>
      <c r="C130" s="45" t="str">
        <f>IF('Sortering af spørgsmål'!$C$25=Projektforudsætninger!$C$26,Arbejdsark!C444,"")</f>
        <v/>
      </c>
      <c r="D130" s="46">
        <f>Arbejdsark!D138</f>
        <v>0</v>
      </c>
      <c r="E130" s="45">
        <f>Arbejdsark!I138</f>
        <v>0</v>
      </c>
      <c r="F130" s="45">
        <f>Arbejdsark!J138</f>
        <v>0</v>
      </c>
      <c r="G130" s="45" t="e">
        <f>Arbejdsark!#REF!</f>
        <v>#REF!</v>
      </c>
      <c r="H130" s="45" t="e">
        <f>Arbejdsark!#REF!</f>
        <v>#REF!</v>
      </c>
      <c r="I130" s="45" t="str">
        <f>IF('Sortering af spørgsmål'!$C$25=Projektforudsætninger!$C$26,Arbejdsark!K444,"")</f>
        <v/>
      </c>
      <c r="J130" s="41" t="s">
        <v>9</v>
      </c>
      <c r="K130" s="41"/>
    </row>
    <row r="131" spans="1:11" ht="98.25" customHeight="1" x14ac:dyDescent="0.45">
      <c r="A131" s="45" t="str">
        <f>Arbejdsark!$A$424</f>
        <v>Renhold og vedligehold</v>
      </c>
      <c r="B131" s="43" t="str">
        <f>Arbejdsark!$B$449</f>
        <v>3.6</v>
      </c>
      <c r="C131" s="45" t="str">
        <f>IF('Sortering af spørgsmål'!$C$25=Projektforudsætninger!$C$26,Arbejdsark!C449,"")</f>
        <v/>
      </c>
      <c r="D131" s="46" t="str">
        <f>Arbejdsark!D139</f>
        <v>ECO2.1 + TEC1.4
Vægtning: ECO2.1 pkt. 7.1, 7.2 og 7.3 + TEC1.4 pkt. 1.1, 1.2 og 1.3</v>
      </c>
      <c r="E131" s="45" t="str">
        <f>Arbejdsark!I139</f>
        <v>x</v>
      </c>
      <c r="F131" s="45">
        <f>Arbejdsark!J139</f>
        <v>0</v>
      </c>
      <c r="G131" s="45" t="e">
        <f>Arbejdsark!#REF!</f>
        <v>#REF!</v>
      </c>
      <c r="H131" s="45" t="e">
        <f>Arbejdsark!#REF!</f>
        <v>#REF!</v>
      </c>
      <c r="I131" s="45" t="str">
        <f>IF('Sortering af spørgsmål'!$C$25=Projektforudsætninger!$C$26,Arbejdsark!K449,"")</f>
        <v/>
      </c>
      <c r="J131" s="41" t="s">
        <v>9</v>
      </c>
      <c r="K131" s="41"/>
    </row>
    <row r="132" spans="1:11" x14ac:dyDescent="0.45">
      <c r="A132" s="323" t="str">
        <f>Arbejdsark!$A$455</f>
        <v>Idriftsættelse</v>
      </c>
      <c r="B132" s="313">
        <v>4</v>
      </c>
      <c r="C132" s="323"/>
      <c r="D132" s="323"/>
      <c r="E132" s="323"/>
      <c r="F132" s="323"/>
      <c r="G132" s="323"/>
      <c r="H132" s="323"/>
      <c r="I132" s="313" t="str">
        <f>IF('Sortering af spørgsmål'!$C$33=Projektforudsætninger!$C$26,"Udfyld spørgsmål","Ingen spørgsmål")</f>
        <v>Ingen spørgsmål</v>
      </c>
      <c r="J132" s="314"/>
      <c r="K132" s="314"/>
    </row>
    <row r="133" spans="1:11" ht="98.25" customHeight="1" x14ac:dyDescent="0.45">
      <c r="A133" s="45" t="str">
        <f>Arbejdsark!$A$455</f>
        <v>Idriftsættelse</v>
      </c>
      <c r="B133" s="327" t="str">
        <f>Arbejdsark!$B$455</f>
        <v>4.1</v>
      </c>
      <c r="C133" s="45" t="str">
        <f>IF('Sortering af spørgsmål'!$C$33=Projektforudsætninger!$C$26,Arbejdsark!C455,"")</f>
        <v/>
      </c>
      <c r="D133" s="46" t="str">
        <f>Arbejdsark!D167</f>
        <v>SOC1.1
Vægtning: SOC1.1 pkt. 1 + 4</v>
      </c>
      <c r="E133" s="45" t="str">
        <f>Arbejdsark!I167</f>
        <v>x</v>
      </c>
      <c r="F133" s="45">
        <f>Arbejdsark!J167</f>
        <v>0</v>
      </c>
      <c r="G133" s="45" t="e">
        <f>Arbejdsark!#REF!</f>
        <v>#REF!</v>
      </c>
      <c r="H133" s="45" t="e">
        <f>Arbejdsark!#REF!</f>
        <v>#REF!</v>
      </c>
      <c r="I133" s="45" t="str">
        <f>IF('Sortering af spørgsmål'!$C$33=Projektforudsætninger!$C$26,Arbejdsark!K455,"")</f>
        <v/>
      </c>
      <c r="J133" s="41" t="s">
        <v>9</v>
      </c>
      <c r="K133" s="41"/>
    </row>
    <row r="134" spans="1:11" x14ac:dyDescent="0.45">
      <c r="A134" s="45"/>
      <c r="B134" s="319"/>
      <c r="C134" s="45"/>
      <c r="D134" s="46"/>
      <c r="E134" s="45"/>
      <c r="F134" s="45"/>
      <c r="G134" s="45"/>
      <c r="H134" s="45"/>
      <c r="I134" s="45"/>
      <c r="J134" s="47"/>
      <c r="K134" s="47"/>
    </row>
    <row r="135" spans="1:11" ht="28.5" customHeight="1" x14ac:dyDescent="0.45">
      <c r="A135" s="62" t="str">
        <f>Arbejdsark!$A$460</f>
        <v>PROCES KVALITET</v>
      </c>
      <c r="B135" s="328"/>
      <c r="C135" s="62"/>
      <c r="D135" s="62"/>
      <c r="E135" s="62"/>
      <c r="F135" s="62"/>
      <c r="G135" s="62"/>
      <c r="H135" s="62"/>
      <c r="I135" s="63"/>
      <c r="J135" s="64"/>
      <c r="K135" s="64"/>
    </row>
    <row r="136" spans="1:11" ht="28.5" customHeight="1" x14ac:dyDescent="0.45">
      <c r="A136" s="58" t="str">
        <f>$A$4</f>
        <v>Tema</v>
      </c>
      <c r="B136" s="319" t="str">
        <f>B4</f>
        <v>ID</v>
      </c>
      <c r="C136" s="58" t="str">
        <f>$C$4</f>
        <v>Emne</v>
      </c>
      <c r="D136" s="58" t="str">
        <f>D4</f>
        <v>DGNB kriterium</v>
      </c>
      <c r="E136" s="58" t="str">
        <f>E4</f>
        <v>Byggeudvalg eller Hovedbestyrelse</v>
      </c>
      <c r="F136" s="58" t="str">
        <f>F4</f>
        <v>Projektleder</v>
      </c>
      <c r="G136" s="58" t="str">
        <f>G4</f>
        <v>#REFERENCE!</v>
      </c>
      <c r="H136" s="58" t="str">
        <f>H4</f>
        <v>Ikon</v>
      </c>
      <c r="I136" s="58" t="str">
        <f>$I$4</f>
        <v>Spørgsmål</v>
      </c>
      <c r="J136" s="59" t="str">
        <f>$J$4</f>
        <v>Svar</v>
      </c>
      <c r="K136" s="59" t="str">
        <f>$K$4</f>
        <v>Uddybende kommentarer</v>
      </c>
    </row>
    <row r="137" spans="1:11" ht="28.5" customHeight="1" x14ac:dyDescent="0.45">
      <c r="A137" s="62" t="str">
        <f>Arbejdsark!$A$462</f>
        <v>Byggeprogram</v>
      </c>
      <c r="B137" s="328">
        <v>1</v>
      </c>
      <c r="C137" s="62"/>
      <c r="D137" s="62"/>
      <c r="E137" s="62"/>
      <c r="F137" s="62"/>
      <c r="G137" s="62"/>
      <c r="H137" s="62"/>
      <c r="I137" s="63" t="str">
        <f>IF('Sortering af spørgsmål'!$C$26=Projektforudsætninger!$C$26,"Udfyld spørgsmål","Ingen spørgsmål")</f>
        <v>Ingen spørgsmål</v>
      </c>
      <c r="J137" s="64"/>
      <c r="K137" s="64"/>
    </row>
    <row r="138" spans="1:11" ht="113.65" customHeight="1" x14ac:dyDescent="0.45">
      <c r="A138" s="45" t="str">
        <f>Arbejdsark!$A$462</f>
        <v>Byggeprogram</v>
      </c>
      <c r="B138" s="327" t="str">
        <f>Arbejdsark!$B$462</f>
        <v>1.1</v>
      </c>
      <c r="C138" s="45" t="str">
        <f>IF('Sortering af spørgsmål'!$C$26=Projektforudsætninger!$C$26,Arbejdsark!C462,"")</f>
        <v/>
      </c>
      <c r="D138" s="46">
        <f>Arbejdsark!D145</f>
        <v>0</v>
      </c>
      <c r="E138" s="45">
        <f>Arbejdsark!I145</f>
        <v>0</v>
      </c>
      <c r="F138" s="45">
        <f>Arbejdsark!J145</f>
        <v>0</v>
      </c>
      <c r="G138" s="45" t="e">
        <f>Arbejdsark!#REF!</f>
        <v>#REF!</v>
      </c>
      <c r="H138" s="45" t="e">
        <f>Arbejdsark!#REF!</f>
        <v>#REF!</v>
      </c>
      <c r="I138" s="45" t="str">
        <f>IF('Sortering af spørgsmål'!$C$26=Projektforudsætninger!$C$26,Arbejdsark!K462,"")</f>
        <v/>
      </c>
      <c r="J138" s="41" t="s">
        <v>9</v>
      </c>
      <c r="K138" s="41"/>
    </row>
    <row r="139" spans="1:11" x14ac:dyDescent="0.45">
      <c r="A139" s="45"/>
      <c r="B139" s="319"/>
      <c r="C139" s="45"/>
      <c r="D139" s="46"/>
      <c r="E139" s="45"/>
      <c r="F139" s="45"/>
      <c r="G139" s="45"/>
      <c r="H139" s="45"/>
      <c r="I139" s="45"/>
      <c r="J139" s="47"/>
      <c r="K139" s="47"/>
    </row>
    <row r="140" spans="1:11" ht="28.5" customHeight="1" x14ac:dyDescent="0.45">
      <c r="A140" s="62" t="str">
        <f>Arbejdsark!$A$467</f>
        <v>Integreret designproces</v>
      </c>
      <c r="B140" s="328">
        <v>2</v>
      </c>
      <c r="C140" s="62"/>
      <c r="D140" s="62"/>
      <c r="E140" s="62"/>
      <c r="F140" s="62"/>
      <c r="G140" s="62"/>
      <c r="H140" s="62"/>
      <c r="I140" s="63" t="str">
        <f>IF('Sortering af spørgsmål'!$C$27=Projektforudsætninger!$C$26,"Udfyld spørgsmål","Ingen spørgsmål")</f>
        <v>Ingen spørgsmål</v>
      </c>
      <c r="J140" s="64"/>
      <c r="K140" s="64"/>
    </row>
    <row r="141" spans="1:11" ht="70.900000000000006" customHeight="1" x14ac:dyDescent="0.45">
      <c r="A141" s="45" t="str">
        <f>Arbejdsark!$A$467</f>
        <v>Integreret designproces</v>
      </c>
      <c r="B141" s="327" t="str">
        <f>Arbejdsark!$B$467</f>
        <v>2.1</v>
      </c>
      <c r="C141" s="45" t="str">
        <f>IF('Sortering af spørgsmål'!$C$27=Projektforudsætninger!$C$26,Arbejdsark!C467,"")</f>
        <v/>
      </c>
      <c r="D141" s="46">
        <f>Arbejdsark!D147</f>
        <v>0</v>
      </c>
      <c r="E141" s="45">
        <f>Arbejdsark!I147</f>
        <v>0</v>
      </c>
      <c r="F141" s="45">
        <f>Arbejdsark!J147</f>
        <v>0</v>
      </c>
      <c r="G141" s="45" t="e">
        <f>Arbejdsark!#REF!</f>
        <v>#REF!</v>
      </c>
      <c r="H141" s="45" t="e">
        <f>Arbejdsark!#REF!</f>
        <v>#REF!</v>
      </c>
      <c r="I141" s="45" t="str">
        <f>IF('Sortering af spørgsmål'!$C$27=Projektforudsætninger!$C$26,Arbejdsark!K467,"")</f>
        <v/>
      </c>
      <c r="J141" s="41" t="s">
        <v>9</v>
      </c>
      <c r="K141" s="41"/>
    </row>
    <row r="142" spans="1:11" ht="113.65" customHeight="1" x14ac:dyDescent="0.45">
      <c r="A142" s="45" t="str">
        <f>Arbejdsark!$A$467</f>
        <v>Integreret designproces</v>
      </c>
      <c r="B142" s="327" t="str">
        <f>Arbejdsark!$B$472</f>
        <v>2.2</v>
      </c>
      <c r="C142" s="45" t="str">
        <f>IF('Sortering af spørgsmål'!$C$27=Projektforudsætninger!$C$26,Arbejdsark!C472,"")</f>
        <v/>
      </c>
      <c r="D142" s="46">
        <f>Arbejdsark!D148</f>
        <v>0</v>
      </c>
      <c r="E142" s="45">
        <f>Arbejdsark!I148</f>
        <v>0</v>
      </c>
      <c r="F142" s="45">
        <f>Arbejdsark!J148</f>
        <v>0</v>
      </c>
      <c r="G142" s="45" t="e">
        <f>Arbejdsark!#REF!</f>
        <v>#REF!</v>
      </c>
      <c r="H142" s="45" t="e">
        <f>Arbejdsark!#REF!</f>
        <v>#REF!</v>
      </c>
      <c r="I142" s="45" t="str">
        <f>IF('Sortering af spørgsmål'!$C$27=Projektforudsætninger!$C$26,Arbejdsark!K472,"")</f>
        <v/>
      </c>
      <c r="J142" s="41" t="s">
        <v>9</v>
      </c>
      <c r="K142" s="41"/>
    </row>
    <row r="143" spans="1:11" ht="85.15" customHeight="1" x14ac:dyDescent="0.45">
      <c r="A143" s="45" t="str">
        <f>Arbejdsark!$A$467</f>
        <v>Integreret designproces</v>
      </c>
      <c r="B143" s="327" t="str">
        <f>Arbejdsark!$B$477</f>
        <v>2.3</v>
      </c>
      <c r="C143" s="45" t="str">
        <f>IF('Sortering af spørgsmål'!$C$27=Projektforudsætninger!$C$26,Arbejdsark!C477,"")</f>
        <v/>
      </c>
      <c r="D143" s="46" t="str">
        <f>Arbejdsark!D149</f>
        <v>ECO2.1
Vægtning: 25 % af ECO2.1 pkt. 6</v>
      </c>
      <c r="E143" s="45" t="str">
        <f>Arbejdsark!I149</f>
        <v>x</v>
      </c>
      <c r="F143" s="45">
        <f>Arbejdsark!J149</f>
        <v>0</v>
      </c>
      <c r="G143" s="45" t="e">
        <f>Arbejdsark!#REF!</f>
        <v>#REF!</v>
      </c>
      <c r="H143" s="45" t="e">
        <f>Arbejdsark!#REF!</f>
        <v>#REF!</v>
      </c>
      <c r="I143" s="45" t="str">
        <f>IF('Sortering af spørgsmål'!$C$27=Projektforudsætninger!$C$26,Arbejdsark!K477,"")</f>
        <v/>
      </c>
      <c r="J143" s="41" t="s">
        <v>9</v>
      </c>
      <c r="K143" s="41"/>
    </row>
    <row r="144" spans="1:11" ht="85.15" customHeight="1" x14ac:dyDescent="0.45">
      <c r="A144" s="45" t="str">
        <f>Arbejdsark!$A$467</f>
        <v>Integreret designproces</v>
      </c>
      <c r="B144" s="327" t="str">
        <f>Arbejdsark!$B$482</f>
        <v>2.4</v>
      </c>
      <c r="C144" s="45" t="str">
        <f>IF('Sortering af spørgsmål'!$C$27=Projektforudsætninger!$C$26,Arbejdsark!C482,"")</f>
        <v/>
      </c>
      <c r="D144" s="46">
        <f>Arbejdsark!D150</f>
        <v>0</v>
      </c>
      <c r="E144" s="45">
        <f>Arbejdsark!I150</f>
        <v>0</v>
      </c>
      <c r="F144" s="45">
        <f>Arbejdsark!J150</f>
        <v>0</v>
      </c>
      <c r="G144" s="45" t="e">
        <f>Arbejdsark!#REF!</f>
        <v>#REF!</v>
      </c>
      <c r="H144" s="45" t="e">
        <f>Arbejdsark!#REF!</f>
        <v>#REF!</v>
      </c>
      <c r="I144" s="45" t="str">
        <f>IF('Sortering af spørgsmål'!$C$27=Projektforudsætninger!$C$26,Arbejdsark!K482,"")</f>
        <v/>
      </c>
      <c r="J144" s="41" t="s">
        <v>9</v>
      </c>
      <c r="K144" s="41"/>
    </row>
    <row r="145" spans="1:11" ht="85.15" customHeight="1" x14ac:dyDescent="0.45">
      <c r="A145" s="45" t="str">
        <f>Arbejdsark!$A$467</f>
        <v>Integreret designproces</v>
      </c>
      <c r="B145" s="327" t="str">
        <f>Arbejdsark!$B$487</f>
        <v>2.5</v>
      </c>
      <c r="C145" s="45" t="str">
        <f>IF('Sortering af spørgsmål'!$C$27=Projektforudsætninger!$C$26,Arbejdsark!C487,"")</f>
        <v/>
      </c>
      <c r="D145" s="46">
        <f>Arbejdsark!D151</f>
        <v>0</v>
      </c>
      <c r="E145" s="45">
        <f>Arbejdsark!I151</f>
        <v>0</v>
      </c>
      <c r="F145" s="45">
        <f>Arbejdsark!J151</f>
        <v>0</v>
      </c>
      <c r="G145" s="45" t="e">
        <f>Arbejdsark!#REF!</f>
        <v>#REF!</v>
      </c>
      <c r="H145" s="45" t="e">
        <f>Arbejdsark!#REF!</f>
        <v>#REF!</v>
      </c>
      <c r="I145" s="45" t="str">
        <f>IF('Sortering af spørgsmål'!$C$27=Projektforudsætninger!$C$26,Arbejdsark!K487,"")</f>
        <v/>
      </c>
      <c r="J145" s="41" t="s">
        <v>9</v>
      </c>
      <c r="K145" s="41"/>
    </row>
    <row r="146" spans="1:11" x14ac:dyDescent="0.45">
      <c r="A146" s="45"/>
      <c r="B146" s="319"/>
      <c r="C146" s="45"/>
      <c r="D146" s="46"/>
      <c r="E146" s="45"/>
      <c r="F146" s="45"/>
      <c r="G146" s="45"/>
      <c r="H146" s="45"/>
      <c r="I146" s="45"/>
      <c r="J146" s="47"/>
      <c r="K146" s="47"/>
    </row>
    <row r="147" spans="1:11" ht="28.5" customHeight="1" x14ac:dyDescent="0.45">
      <c r="A147" s="62" t="str">
        <f>Arbejdsark!$A$492</f>
        <v>Koncepter</v>
      </c>
      <c r="B147" s="328">
        <v>3</v>
      </c>
      <c r="C147" s="62"/>
      <c r="D147" s="62"/>
      <c r="E147" s="62"/>
      <c r="F147" s="62"/>
      <c r="G147" s="62"/>
      <c r="H147" s="62"/>
      <c r="I147" s="63" t="str">
        <f>IF('Sortering af spørgsmål'!$C$28=Projektforudsætninger!$C$26,"Udfyld spørgsmål","Ingen spørgsmål")</f>
        <v>Ingen spørgsmål</v>
      </c>
      <c r="J147" s="64"/>
      <c r="K147" s="64"/>
    </row>
    <row r="148" spans="1:11" ht="170.25" customHeight="1" x14ac:dyDescent="0.45">
      <c r="A148" s="45" t="str">
        <f>Arbejdsark!$A$492</f>
        <v>Koncepter</v>
      </c>
      <c r="B148" s="327" t="str">
        <f>Arbejdsark!$B$492</f>
        <v>3.1</v>
      </c>
      <c r="C148" s="45" t="str">
        <f>IF('Sortering af spørgsmål'!$C$28=Projektforudsætninger!$C$26,Arbejdsark!C492,"")</f>
        <v/>
      </c>
      <c r="D148" s="46">
        <f>Arbejdsark!D152</f>
        <v>0</v>
      </c>
      <c r="E148" s="45">
        <f>Arbejdsark!I152</f>
        <v>0</v>
      </c>
      <c r="F148" s="45">
        <f>Arbejdsark!J152</f>
        <v>0</v>
      </c>
      <c r="G148" s="45" t="e">
        <f>Arbejdsark!#REF!</f>
        <v>#REF!</v>
      </c>
      <c r="H148" s="45" t="e">
        <f>Arbejdsark!#REF!</f>
        <v>#REF!</v>
      </c>
      <c r="I148" s="45" t="str">
        <f>IF('Sortering af spørgsmål'!$C$28=Projektforudsætninger!$C$26,Arbejdsark!K492,"")</f>
        <v/>
      </c>
      <c r="J148" s="41" t="s">
        <v>9</v>
      </c>
      <c r="K148" s="41"/>
    </row>
    <row r="149" spans="1:11" x14ac:dyDescent="0.45">
      <c r="A149" s="45"/>
      <c r="B149" s="319"/>
      <c r="C149" s="45"/>
      <c r="D149" s="46"/>
      <c r="E149" s="45"/>
      <c r="F149" s="45"/>
      <c r="G149" s="45"/>
      <c r="H149" s="45"/>
      <c r="I149" s="45"/>
      <c r="J149" s="47"/>
      <c r="K149" s="47"/>
    </row>
    <row r="150" spans="1:11" ht="28.5" customHeight="1" x14ac:dyDescent="0.45">
      <c r="A150" s="62" t="str">
        <f>Arbejdsark!$A$497</f>
        <v>Entrepriseudbud</v>
      </c>
      <c r="B150" s="328">
        <v>4</v>
      </c>
      <c r="C150" s="62"/>
      <c r="D150" s="62"/>
      <c r="E150" s="62"/>
      <c r="F150" s="62"/>
      <c r="G150" s="62"/>
      <c r="H150" s="62"/>
      <c r="I150" s="63" t="str">
        <f>IF('Sortering af spørgsmål'!$C$29=Projektforudsætninger!$C$26,"Udfyld spørgsmål","Ingen spørgsmål")</f>
        <v>Ingen spørgsmål</v>
      </c>
      <c r="J150" s="64"/>
      <c r="K150" s="64"/>
    </row>
    <row r="151" spans="1:11" ht="85.15" customHeight="1" x14ac:dyDescent="0.45">
      <c r="A151" s="45" t="str">
        <f>Arbejdsark!$A$497</f>
        <v>Entrepriseudbud</v>
      </c>
      <c r="B151" s="327" t="str">
        <f>Arbejdsark!$B$497</f>
        <v>4.1</v>
      </c>
      <c r="C151" s="45" t="str">
        <f>IF('Sortering af spørgsmål'!$C$29=Projektforudsætninger!$C$26,Arbejdsark!C497,"")</f>
        <v/>
      </c>
      <c r="D151" s="46">
        <f>Arbejdsark!D157</f>
        <v>0</v>
      </c>
      <c r="E151" s="45">
        <f>Arbejdsark!I157</f>
        <v>0</v>
      </c>
      <c r="F151" s="45">
        <f>Arbejdsark!J157</f>
        <v>0</v>
      </c>
      <c r="G151" s="45" t="e">
        <f>Arbejdsark!#REF!</f>
        <v>#REF!</v>
      </c>
      <c r="H151" s="45" t="e">
        <f>Arbejdsark!#REF!</f>
        <v>#REF!</v>
      </c>
      <c r="I151" s="45" t="str">
        <f>IF('Sortering af spørgsmål'!$C$29=Projektforudsætninger!$C$26,Arbejdsark!K497,"")</f>
        <v/>
      </c>
      <c r="J151" s="41" t="s">
        <v>9</v>
      </c>
      <c r="K151" s="41"/>
    </row>
    <row r="152" spans="1:11" x14ac:dyDescent="0.45">
      <c r="A152" s="45"/>
      <c r="B152" s="319"/>
      <c r="C152" s="45"/>
      <c r="D152" s="46"/>
      <c r="E152" s="45"/>
      <c r="F152" s="45"/>
      <c r="G152" s="45"/>
      <c r="H152" s="45"/>
      <c r="I152" s="45"/>
      <c r="J152" s="47"/>
      <c r="K152" s="47"/>
    </row>
    <row r="153" spans="1:11" ht="28.5" x14ac:dyDescent="0.45">
      <c r="A153" s="62" t="str">
        <f>Arbejdsark!$A$502</f>
        <v>Kvalitet af aflevering til driftspersonale</v>
      </c>
      <c r="B153" s="328">
        <v>5</v>
      </c>
      <c r="C153" s="62"/>
      <c r="D153" s="62"/>
      <c r="E153" s="62"/>
      <c r="F153" s="62"/>
      <c r="G153" s="62"/>
      <c r="H153" s="62"/>
      <c r="I153" s="63" t="str">
        <f>IF('Sortering af spørgsmål'!$C$30=Projektforudsætninger!$C$26,"Udfyld spørgsmål","Ingen spørgsmål")</f>
        <v>Ingen spørgsmål</v>
      </c>
      <c r="J153" s="64"/>
      <c r="K153" s="64"/>
    </row>
    <row r="154" spans="1:11" ht="113.65" customHeight="1" x14ac:dyDescent="0.45">
      <c r="A154" s="45" t="str">
        <f>Arbejdsark!$A$502</f>
        <v>Kvalitet af aflevering til driftspersonale</v>
      </c>
      <c r="B154" s="327" t="str">
        <f>Arbejdsark!$B$502</f>
        <v>5.1</v>
      </c>
      <c r="C154" s="45" t="str">
        <f>IF('Sortering af spørgsmål'!$C$30=Projektforudsætninger!$C$26,Arbejdsark!C502,"")</f>
        <v/>
      </c>
      <c r="D154" s="46">
        <f>Arbejdsark!D160</f>
        <v>0</v>
      </c>
      <c r="E154" s="45">
        <f>Arbejdsark!I160</f>
        <v>0</v>
      </c>
      <c r="F154" s="45">
        <f>Arbejdsark!J160</f>
        <v>0</v>
      </c>
      <c r="G154" s="45" t="e">
        <f>Arbejdsark!#REF!</f>
        <v>#REF!</v>
      </c>
      <c r="H154" s="45" t="e">
        <f>Arbejdsark!#REF!</f>
        <v>#REF!</v>
      </c>
      <c r="I154" s="45" t="str">
        <f>IF('Sortering af spørgsmål'!$C$30=Projektforudsætninger!$C$26,Arbejdsark!K502,"")</f>
        <v/>
      </c>
      <c r="J154" s="41" t="s">
        <v>9</v>
      </c>
      <c r="K154" s="41"/>
    </row>
    <row r="155" spans="1:11" ht="113.65" customHeight="1" x14ac:dyDescent="0.45">
      <c r="A155" s="45" t="str">
        <f>Arbejdsark!$A$502</f>
        <v>Kvalitet af aflevering til driftspersonale</v>
      </c>
      <c r="B155" s="327" t="str">
        <f>Arbejdsark!$B$507</f>
        <v>5.2</v>
      </c>
      <c r="C155" s="45" t="str">
        <f>IF('Sortering af spørgsmål'!$C$30=Projektforudsætninger!$C$26,Arbejdsark!C507,"")</f>
        <v/>
      </c>
      <c r="D155" s="46">
        <f>Arbejdsark!D161</f>
        <v>0</v>
      </c>
      <c r="E155" s="45">
        <f>Arbejdsark!I161</f>
        <v>0</v>
      </c>
      <c r="F155" s="45">
        <f>Arbejdsark!J161</f>
        <v>0</v>
      </c>
      <c r="G155" s="45" t="e">
        <f>Arbejdsark!#REF!</f>
        <v>#REF!</v>
      </c>
      <c r="H155" s="45" t="e">
        <f>Arbejdsark!#REF!</f>
        <v>#REF!</v>
      </c>
      <c r="I155" s="45" t="str">
        <f>IF('Sortering af spørgsmål'!$C$30=Projektforudsætninger!$C$26,Arbejdsark!K507,"")</f>
        <v/>
      </c>
      <c r="J155" s="41" t="s">
        <v>9</v>
      </c>
      <c r="K155" s="41"/>
    </row>
    <row r="156" spans="1:11" ht="113.65" customHeight="1" x14ac:dyDescent="0.45">
      <c r="A156" s="45" t="str">
        <f>Arbejdsark!$A$502</f>
        <v>Kvalitet af aflevering til driftspersonale</v>
      </c>
      <c r="B156" s="327" t="str">
        <f>Arbejdsark!$B$512</f>
        <v>5.3</v>
      </c>
      <c r="C156" s="45" t="str">
        <f>IF('Sortering af spørgsmål'!$C$30=Projektforudsætninger!$C$26,Arbejdsark!C512,"")</f>
        <v/>
      </c>
      <c r="D156" s="46">
        <f>Arbejdsark!D162</f>
        <v>0</v>
      </c>
      <c r="E156" s="45">
        <f>Arbejdsark!I162</f>
        <v>0</v>
      </c>
      <c r="F156" s="45">
        <f>Arbejdsark!J162</f>
        <v>0</v>
      </c>
      <c r="G156" s="45" t="e">
        <f>Arbejdsark!#REF!</f>
        <v>#REF!</v>
      </c>
      <c r="H156" s="45" t="e">
        <f>Arbejdsark!#REF!</f>
        <v>#REF!</v>
      </c>
      <c r="I156" s="45" t="str">
        <f>IF('Sortering af spørgsmål'!$C$30=Projektforudsætninger!$C$26,Arbejdsark!K512,"")</f>
        <v/>
      </c>
      <c r="J156" s="41" t="s">
        <v>9</v>
      </c>
      <c r="K156" s="41"/>
    </row>
    <row r="157" spans="1:11" x14ac:dyDescent="0.45">
      <c r="A157" s="45"/>
      <c r="B157" s="319"/>
      <c r="C157" s="45"/>
      <c r="D157" s="46"/>
      <c r="E157" s="45"/>
      <c r="F157" s="45"/>
      <c r="G157" s="45"/>
      <c r="H157" s="45"/>
      <c r="I157" s="45"/>
      <c r="J157" s="47"/>
      <c r="K157" s="47"/>
    </row>
    <row r="158" spans="1:11" ht="28.5" customHeight="1" x14ac:dyDescent="0.45">
      <c r="A158" s="62" t="str">
        <f>Arbejdsark!$A$517</f>
        <v>Byggeplads</v>
      </c>
      <c r="B158" s="328">
        <v>6</v>
      </c>
      <c r="C158" s="62"/>
      <c r="D158" s="62"/>
      <c r="E158" s="62"/>
      <c r="F158" s="62"/>
      <c r="G158" s="62"/>
      <c r="H158" s="62"/>
      <c r="I158" s="63" t="str">
        <f>IF('Sortering af spørgsmål'!$C$31=Projektforudsætninger!$C$26,"Udfyld spørgsmål","Ingen spørgsmål")</f>
        <v>Ingen spørgsmål</v>
      </c>
      <c r="J158" s="64"/>
      <c r="K158" s="64"/>
    </row>
    <row r="159" spans="1:11" ht="141.75" customHeight="1" x14ac:dyDescent="0.45">
      <c r="A159" s="45" t="str">
        <f>Arbejdsark!$A$517</f>
        <v>Byggeplads</v>
      </c>
      <c r="B159" s="327" t="str">
        <f>Arbejdsark!$B$517</f>
        <v>6.1</v>
      </c>
      <c r="C159" s="45" t="str">
        <f>IF('Sortering af spørgsmål'!$C$31=Projektforudsætninger!$C$26,Arbejdsark!C517,"")</f>
        <v/>
      </c>
      <c r="D159" s="46">
        <f>Arbejdsark!D163</f>
        <v>0</v>
      </c>
      <c r="E159" s="45">
        <f>Arbejdsark!I163</f>
        <v>0</v>
      </c>
      <c r="F159" s="45">
        <f>Arbejdsark!J163</f>
        <v>0</v>
      </c>
      <c r="G159" s="45" t="e">
        <f>Arbejdsark!#REF!</f>
        <v>#REF!</v>
      </c>
      <c r="H159" s="45" t="e">
        <f>Arbejdsark!#REF!</f>
        <v>#REF!</v>
      </c>
      <c r="I159" s="45" t="str">
        <f>IF('Sortering af spørgsmål'!$C$31=Projektforudsætninger!$C$26,Arbejdsark!K517,"")</f>
        <v/>
      </c>
      <c r="J159" s="41" t="s">
        <v>9</v>
      </c>
      <c r="K159" s="41"/>
    </row>
    <row r="160" spans="1:11" ht="141.75" customHeight="1" x14ac:dyDescent="0.45">
      <c r="A160" s="45" t="str">
        <f>Arbejdsark!$A$517</f>
        <v>Byggeplads</v>
      </c>
      <c r="B160" s="327" t="str">
        <f>Arbejdsark!$B$522</f>
        <v>6.2</v>
      </c>
      <c r="C160" s="45" t="str">
        <f>IF('Sortering af spørgsmål'!$C$31=Projektforudsætninger!$C$26,Arbejdsark!C522,"")</f>
        <v/>
      </c>
      <c r="D160" s="46" t="e">
        <f>Arbejdsark!#REF!</f>
        <v>#REF!</v>
      </c>
      <c r="E160" s="45" t="e">
        <f>Arbejdsark!#REF!</f>
        <v>#REF!</v>
      </c>
      <c r="F160" s="45" t="e">
        <f>Arbejdsark!#REF!</f>
        <v>#REF!</v>
      </c>
      <c r="G160" s="45" t="e">
        <f>Arbejdsark!#REF!</f>
        <v>#REF!</v>
      </c>
      <c r="H160" s="45" t="e">
        <f>Arbejdsark!#REF!</f>
        <v>#REF!</v>
      </c>
      <c r="I160" s="45" t="str">
        <f>IF('Sortering af spørgsmål'!$C$31=Projektforudsætninger!$C$26,Arbejdsark!K522,"")</f>
        <v/>
      </c>
      <c r="J160" s="41" t="s">
        <v>9</v>
      </c>
      <c r="K160" s="41"/>
    </row>
    <row r="161" spans="1:11" ht="141.75" customHeight="1" x14ac:dyDescent="0.45">
      <c r="A161" s="45" t="str">
        <f>Arbejdsark!$A$517</f>
        <v>Byggeplads</v>
      </c>
      <c r="B161" s="327" t="str">
        <f>Arbejdsark!$B$527</f>
        <v>6.3</v>
      </c>
      <c r="C161" s="45" t="str">
        <f>IF('Sortering af spørgsmål'!$C$31=Projektforudsætninger!$C$26,Arbejdsark!C527,"")</f>
        <v/>
      </c>
      <c r="D161" s="46" t="e">
        <f>Arbejdsark!#REF!</f>
        <v>#REF!</v>
      </c>
      <c r="E161" s="45" t="e">
        <f>Arbejdsark!#REF!</f>
        <v>#REF!</v>
      </c>
      <c r="F161" s="45" t="e">
        <f>Arbejdsark!#REF!</f>
        <v>#REF!</v>
      </c>
      <c r="G161" s="45" t="e">
        <f>Arbejdsark!#REF!</f>
        <v>#REF!</v>
      </c>
      <c r="H161" s="45" t="e">
        <f>Arbejdsark!#REF!</f>
        <v>#REF!</v>
      </c>
      <c r="I161" s="45" t="str">
        <f>IF('Sortering af spørgsmål'!$C$31=Projektforudsætninger!$C$26,Arbejdsark!K527,"")</f>
        <v/>
      </c>
      <c r="J161" s="41" t="s">
        <v>9</v>
      </c>
      <c r="K161" s="41"/>
    </row>
    <row r="162" spans="1:11" ht="113.65" customHeight="1" x14ac:dyDescent="0.45">
      <c r="A162" s="45" t="str">
        <f>Arbejdsark!$A$517</f>
        <v>Byggeplads</v>
      </c>
      <c r="B162" s="327" t="str">
        <f>Arbejdsark!$B$532</f>
        <v>6.4</v>
      </c>
      <c r="C162" s="45" t="str">
        <f>IF('Sortering af spørgsmål'!$C$31=Projektforudsætninger!$C$26,Arbejdsark!C532,"")</f>
        <v/>
      </c>
      <c r="D162" s="46" t="e">
        <f>Arbejdsark!#REF!</f>
        <v>#REF!</v>
      </c>
      <c r="E162" s="45" t="e">
        <f>Arbejdsark!#REF!</f>
        <v>#REF!</v>
      </c>
      <c r="F162" s="45" t="e">
        <f>Arbejdsark!#REF!</f>
        <v>#REF!</v>
      </c>
      <c r="G162" s="45" t="e">
        <f>Arbejdsark!#REF!</f>
        <v>#REF!</v>
      </c>
      <c r="H162" s="45" t="e">
        <f>Arbejdsark!#REF!</f>
        <v>#REF!</v>
      </c>
      <c r="I162" s="45" t="str">
        <f>IF('Sortering af spørgsmål'!$C$31=Projektforudsætninger!$C$26,Arbejdsark!K532,"")</f>
        <v/>
      </c>
      <c r="J162" s="41" t="s">
        <v>9</v>
      </c>
      <c r="K162" s="41"/>
    </row>
    <row r="163" spans="1:11" ht="113.65" customHeight="1" x14ac:dyDescent="0.45">
      <c r="A163" s="45" t="str">
        <f>Arbejdsark!$A$517</f>
        <v>Byggeplads</v>
      </c>
      <c r="B163" s="327" t="str">
        <f>Arbejdsark!$B$537</f>
        <v>6.5</v>
      </c>
      <c r="C163" s="45" t="str">
        <f>IF('Sortering af spørgsmål'!$C$31=Projektforudsætninger!$C$26,Arbejdsark!C537,"")</f>
        <v/>
      </c>
      <c r="D163" s="46" t="e">
        <f>Arbejdsark!#REF!</f>
        <v>#REF!</v>
      </c>
      <c r="E163" s="45" t="e">
        <f>Arbejdsark!#REF!</f>
        <v>#REF!</v>
      </c>
      <c r="F163" s="45" t="e">
        <f>Arbejdsark!#REF!</f>
        <v>#REF!</v>
      </c>
      <c r="G163" s="45" t="e">
        <f>Arbejdsark!#REF!</f>
        <v>#REF!</v>
      </c>
      <c r="H163" s="45" t="e">
        <f>Arbejdsark!#REF!</f>
        <v>#REF!</v>
      </c>
      <c r="I163" s="45" t="str">
        <f>IF('Sortering af spørgsmål'!$C$31=Projektforudsætninger!$C$26,Arbejdsark!K537,"")</f>
        <v/>
      </c>
      <c r="J163" s="41" t="s">
        <v>9</v>
      </c>
      <c r="K163" s="41"/>
    </row>
    <row r="164" spans="1:11" ht="113.65" customHeight="1" x14ac:dyDescent="0.45">
      <c r="A164" s="45" t="str">
        <f>Arbejdsark!$A$517</f>
        <v>Byggeplads</v>
      </c>
      <c r="B164" s="327" t="str">
        <f>Arbejdsark!$B$542</f>
        <v>6.6</v>
      </c>
      <c r="C164" s="45" t="str">
        <f>IF('Sortering af spørgsmål'!$C$31=Projektforudsætninger!$C$26,Arbejdsark!C542,"")</f>
        <v/>
      </c>
      <c r="D164" s="46" t="e">
        <f>Arbejdsark!#REF!</f>
        <v>#REF!</v>
      </c>
      <c r="E164" s="45" t="e">
        <f>Arbejdsark!#REF!</f>
        <v>#REF!</v>
      </c>
      <c r="F164" s="45" t="e">
        <f>Arbejdsark!#REF!</f>
        <v>#REF!</v>
      </c>
      <c r="G164" s="45" t="e">
        <f>Arbejdsark!#REF!</f>
        <v>#REF!</v>
      </c>
      <c r="H164" s="45" t="e">
        <f>Arbejdsark!#REF!</f>
        <v>#REF!</v>
      </c>
      <c r="I164" s="45" t="str">
        <f>IF('Sortering af spørgsmål'!$C$31=Projektforudsætninger!$C$26,Arbejdsark!K542,"")</f>
        <v/>
      </c>
      <c r="J164" s="41" t="s">
        <v>9</v>
      </c>
      <c r="K164" s="41"/>
    </row>
    <row r="165" spans="1:11" x14ac:dyDescent="0.45">
      <c r="A165" s="45"/>
      <c r="B165" s="319"/>
      <c r="C165" s="45"/>
      <c r="D165" s="46"/>
      <c r="E165" s="45"/>
      <c r="F165" s="45"/>
      <c r="G165" s="45"/>
      <c r="H165" s="45"/>
      <c r="I165" s="45"/>
      <c r="J165" s="47"/>
      <c r="K165" s="47"/>
    </row>
    <row r="166" spans="1:11" ht="42.6" customHeight="1" x14ac:dyDescent="0.45">
      <c r="A166" s="62" t="str">
        <f>Arbejdsark!$A$548</f>
        <v>Eftervisende dokumentation</v>
      </c>
      <c r="B166" s="328">
        <v>7</v>
      </c>
      <c r="C166" s="62"/>
      <c r="D166" s="62"/>
      <c r="E166" s="62"/>
      <c r="F166" s="62"/>
      <c r="G166" s="62"/>
      <c r="H166" s="62"/>
      <c r="I166" s="63" t="str">
        <f>IF('Sortering af spørgsmål'!$C$32=Projektforudsætninger!$C$26,"Udfyld spørgsmål","Ingen spørgsmål")</f>
        <v>Ingen spørgsmål</v>
      </c>
      <c r="J166" s="64"/>
      <c r="K166" s="64"/>
    </row>
    <row r="167" spans="1:11" ht="113.65" customHeight="1" x14ac:dyDescent="0.45">
      <c r="A167" s="45" t="str">
        <f>Arbejdsark!$A$548</f>
        <v>Eftervisende dokumentation</v>
      </c>
      <c r="B167" s="327" t="str">
        <f>Arbejdsark!$B$548</f>
        <v>7.1</v>
      </c>
      <c r="C167" s="45" t="str">
        <f>IF('Sortering af spørgsmål'!$C$32=Projektforudsætninger!$C$26,Arbejdsark!C548,"")</f>
        <v/>
      </c>
      <c r="D167" s="46" t="e">
        <f>Arbejdsark!#REF!</f>
        <v>#REF!</v>
      </c>
      <c r="E167" s="45" t="e">
        <f>Arbejdsark!#REF!</f>
        <v>#REF!</v>
      </c>
      <c r="F167" s="45" t="e">
        <f>Arbejdsark!#REF!</f>
        <v>#REF!</v>
      </c>
      <c r="G167" s="45" t="e">
        <f>Arbejdsark!#REF!</f>
        <v>#REF!</v>
      </c>
      <c r="H167" s="45" t="e">
        <f>Arbejdsark!#REF!</f>
        <v>#REF!</v>
      </c>
      <c r="I167" s="45" t="str">
        <f>IF('Sortering af spørgsmål'!$C$32=Projektforudsætninger!$C$26,Arbejdsark!K548,"")</f>
        <v/>
      </c>
      <c r="J167" s="41" t="s">
        <v>9</v>
      </c>
      <c r="K167" s="41"/>
    </row>
    <row r="168" spans="1:11" ht="113.65" customHeight="1" x14ac:dyDescent="0.45">
      <c r="A168" s="45" t="str">
        <f>Arbejdsark!$A$548</f>
        <v>Eftervisende dokumentation</v>
      </c>
      <c r="B168" s="327" t="str">
        <f>Arbejdsark!$B$553</f>
        <v>7.2</v>
      </c>
      <c r="C168" s="45" t="str">
        <f>IF('Sortering af spørgsmål'!$C$32=Projektforudsætninger!$C$26,Arbejdsark!C553,"")</f>
        <v/>
      </c>
      <c r="D168" s="46" t="e">
        <f>Arbejdsark!#REF!</f>
        <v>#REF!</v>
      </c>
      <c r="E168" s="45" t="e">
        <f>Arbejdsark!#REF!</f>
        <v>#REF!</v>
      </c>
      <c r="F168" s="45" t="e">
        <f>Arbejdsark!#REF!</f>
        <v>#REF!</v>
      </c>
      <c r="G168" s="45" t="e">
        <f>Arbejdsark!#REF!</f>
        <v>#REF!</v>
      </c>
      <c r="H168" s="45" t="e">
        <f>Arbejdsark!#REF!</f>
        <v>#REF!</v>
      </c>
      <c r="I168" s="45" t="str">
        <f>IF('Sortering af spørgsmål'!$C$32=Projektforudsætninger!$C$26,Arbejdsark!K553,"")</f>
        <v/>
      </c>
      <c r="J168" s="41" t="s">
        <v>9</v>
      </c>
      <c r="K168" s="41"/>
    </row>
    <row r="169" spans="1:11" ht="113.65" customHeight="1" x14ac:dyDescent="0.45">
      <c r="A169" s="45" t="str">
        <f>Arbejdsark!$A$548</f>
        <v>Eftervisende dokumentation</v>
      </c>
      <c r="B169" s="327" t="str">
        <f>Arbejdsark!$B$558</f>
        <v>7.3</v>
      </c>
      <c r="C169" s="45" t="str">
        <f>IF('Sortering af spørgsmål'!$C$32=Projektforudsætninger!$C$26,Arbejdsark!C558,"")</f>
        <v/>
      </c>
      <c r="D169" s="46" t="e">
        <f>Arbejdsark!#REF!</f>
        <v>#REF!</v>
      </c>
      <c r="E169" s="45" t="e">
        <f>Arbejdsark!#REF!</f>
        <v>#REF!</v>
      </c>
      <c r="F169" s="45" t="e">
        <f>Arbejdsark!#REF!</f>
        <v>#REF!</v>
      </c>
      <c r="G169" s="45" t="e">
        <f>Arbejdsark!#REF!</f>
        <v>#REF!</v>
      </c>
      <c r="H169" s="45" t="e">
        <f>Arbejdsark!#REF!</f>
        <v>#REF!</v>
      </c>
      <c r="I169" s="45" t="str">
        <f>IF('Sortering af spørgsmål'!$C$32=Projektforudsætninger!$C$26,Arbejdsark!K558,"")</f>
        <v/>
      </c>
      <c r="J169" s="41" t="s">
        <v>9</v>
      </c>
      <c r="K169" s="41"/>
    </row>
    <row r="170" spans="1:11" ht="170.25" customHeight="1" x14ac:dyDescent="0.45">
      <c r="A170" s="45" t="str">
        <f>Arbejdsark!$A$548</f>
        <v>Eftervisende dokumentation</v>
      </c>
      <c r="B170" s="327" t="str">
        <f>Arbejdsark!$B$563</f>
        <v>7.4</v>
      </c>
      <c r="C170" s="45" t="str">
        <f>IF('Sortering af spørgsmål'!$C$32=Projektforudsætninger!$C$26,Arbejdsark!C563,"")</f>
        <v/>
      </c>
      <c r="D170" s="46" t="e">
        <f>Arbejdsark!#REF!</f>
        <v>#REF!</v>
      </c>
      <c r="E170" s="45" t="e">
        <f>Arbejdsark!#REF!</f>
        <v>#REF!</v>
      </c>
      <c r="F170" s="45" t="e">
        <f>Arbejdsark!#REF!</f>
        <v>#REF!</v>
      </c>
      <c r="G170" s="45" t="e">
        <f>Arbejdsark!#REF!</f>
        <v>#REF!</v>
      </c>
      <c r="H170" s="45" t="e">
        <f>Arbejdsark!#REF!</f>
        <v>#REF!</v>
      </c>
      <c r="I170" s="45" t="str">
        <f>IF('Sortering af spørgsmål'!$C$32=Projektforudsætninger!$C$26,Arbejdsark!K563,"")</f>
        <v/>
      </c>
      <c r="J170" s="41" t="s">
        <v>9</v>
      </c>
      <c r="K170" s="41"/>
    </row>
    <row r="171" spans="1:11" x14ac:dyDescent="0.45">
      <c r="A171" s="45" t="str">
        <f>Arbejdsark!$A$548</f>
        <v>Eftervisende dokumentation</v>
      </c>
      <c r="B171" s="327" t="str">
        <f>Arbejdsark!$B$572</f>
        <v>7.5</v>
      </c>
      <c r="C171" s="45" t="str">
        <f>IF('Sortering af spørgsmål'!$C$32=Projektforudsætninger!$C$26,Arbejdsark!$C$572,"")</f>
        <v/>
      </c>
      <c r="D171" s="46"/>
      <c r="E171" s="45"/>
      <c r="F171" s="45"/>
      <c r="G171" s="45"/>
      <c r="H171" s="45"/>
      <c r="I171" s="45" t="str">
        <f>IF('Sortering af spørgsmål'!$C$32=Projektforudsætninger!$C$26,Arbejdsark!$K$572,"")</f>
        <v/>
      </c>
      <c r="J171" s="37" t="s">
        <v>9</v>
      </c>
      <c r="K171" s="41"/>
    </row>
    <row r="172" spans="1:11" ht="28.5" customHeight="1" x14ac:dyDescent="0.45">
      <c r="A172" s="136"/>
      <c r="B172" s="320"/>
      <c r="C172" s="136"/>
      <c r="D172" s="305"/>
      <c r="E172" s="136"/>
      <c r="F172" s="136"/>
      <c r="G172" s="136"/>
      <c r="H172" s="136"/>
      <c r="I172" s="136"/>
      <c r="J172" s="136"/>
      <c r="K172" s="136"/>
    </row>
    <row r="173" spans="1:11" ht="141.75" customHeight="1" x14ac:dyDescent="0.45">
      <c r="A173" s="324"/>
      <c r="B173" s="325"/>
      <c r="C173" s="324"/>
      <c r="D173" s="326"/>
      <c r="E173" s="324"/>
      <c r="F173" s="324"/>
      <c r="G173" s="324"/>
      <c r="H173" s="324"/>
      <c r="I173" s="324"/>
      <c r="J173" s="324"/>
      <c r="K173" s="324"/>
    </row>
  </sheetData>
  <sheetProtection sheet="1" selectLockedCells="1"/>
  <mergeCells count="2">
    <mergeCell ref="B1:H1"/>
    <mergeCell ref="A2:K2"/>
  </mergeCells>
  <dataValidations count="3">
    <dataValidation type="list" allowBlank="1" showInputMessage="1" showErrorMessage="1" sqref="J65 J70" xr:uid="{00000000-0002-0000-0B00-000000000000}">
      <formula1>$AD$1:$AD$5</formula1>
    </dataValidation>
    <dataValidation type="list" allowBlank="1" showInputMessage="1" showErrorMessage="1" sqref="J6:J9 J133 J167:J170 J159:J164 J154:J156 J151 J148 J141:J145 J138 J86:J87 J117:J123 J126:J131 J94:J108 J90:J91 J77:J78 J68:J69 J56:J64 J50:J51 J40:J47 J36:J37 J30:J31 J27 J21:J24 J16:J18 J12:J13 J73:J74 J81:J83 J113:J114" xr:uid="{00000000-0002-0000-0B00-000001000000}">
      <formula1>$AH$2:$AH$5</formula1>
    </dataValidation>
    <dataValidation type="list" allowBlank="1" showInputMessage="1" showErrorMessage="1" sqref="J171" xr:uid="{00000000-0002-0000-0B00-000002000000}">
      <formula1>$AH$3:$AH$6</formula1>
    </dataValidation>
  </dataValidations>
  <pageMargins left="0.23622047244094491" right="0.23622047244094491" top="0.74803149606299213" bottom="0.74803149606299213" header="0.31496062992125984" footer="0.31496062992125984"/>
  <pageSetup paperSize="8" scale="86" fitToHeight="0" orientation="portrait" r:id="rId1"/>
  <headerFooter>
    <oddHeader>&amp;C&amp;9&amp;A</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3000000}">
          <x14:formula1>
            <xm:f>Arbejdsark!$L$5:$L$7</xm:f>
          </x14:formula1>
          <xm:sqref>J5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21">
    <tabColor rgb="FFFF0000"/>
    <pageSetUpPr fitToPage="1"/>
  </sheetPr>
  <dimension ref="A1:AH173"/>
  <sheetViews>
    <sheetView view="pageLayout" topLeftCell="I1" zoomScale="90" zoomScaleNormal="87" zoomScalePageLayoutView="90" workbookViewId="0">
      <selection activeCell="I4" sqref="I4"/>
    </sheetView>
  </sheetViews>
  <sheetFormatPr defaultColWidth="8.59765625" defaultRowHeight="14.25" x14ac:dyDescent="0.45"/>
  <cols>
    <col min="1" max="1" width="25.3984375" style="30" customWidth="1"/>
    <col min="2" max="2" width="4.265625" style="30" customWidth="1"/>
    <col min="3" max="3" width="11.73046875" style="30" customWidth="1"/>
    <col min="4" max="4" width="37.265625" style="30" hidden="1" customWidth="1"/>
    <col min="5" max="8" width="8.73046875" style="30" hidden="1" customWidth="1"/>
    <col min="9" max="9" width="32.73046875" style="30" customWidth="1"/>
    <col min="10" max="10" width="14.265625" style="30" customWidth="1"/>
    <col min="11" max="11" width="26.73046875" style="30" customWidth="1"/>
    <col min="12" max="20" width="8.73046875" style="30" hidden="1" customWidth="1"/>
    <col min="21" max="21" width="7.3984375" style="30" hidden="1" customWidth="1"/>
    <col min="22" max="22" width="8.73046875" style="30" customWidth="1"/>
    <col min="23" max="28" width="8.59765625" style="30"/>
    <col min="29" max="29" width="8.59765625" style="30" customWidth="1"/>
    <col min="30" max="32" width="8.73046875" style="30" hidden="1" customWidth="1"/>
    <col min="33" max="34" width="8.59765625" style="30" hidden="1" customWidth="1"/>
    <col min="35" max="35" width="8.59765625" style="30" customWidth="1"/>
    <col min="36" max="16384" width="8.59765625" style="30"/>
  </cols>
  <sheetData>
    <row r="1" spans="1:34" ht="28.5" x14ac:dyDescent="0.45">
      <c r="A1" s="796" t="s">
        <v>195</v>
      </c>
      <c r="B1" s="796"/>
      <c r="C1" s="796"/>
      <c r="D1" s="796"/>
      <c r="E1" s="796"/>
      <c r="F1" s="796"/>
      <c r="G1" s="796"/>
      <c r="H1" s="796"/>
      <c r="I1" s="19"/>
      <c r="J1" s="19"/>
      <c r="K1" s="19"/>
      <c r="L1" s="19"/>
      <c r="M1" s="19"/>
      <c r="N1" s="19"/>
      <c r="O1" s="19"/>
      <c r="P1" s="19"/>
      <c r="Q1" s="19"/>
      <c r="R1" s="19"/>
      <c r="S1" s="19"/>
      <c r="T1" s="19"/>
      <c r="U1" s="19"/>
      <c r="AD1" s="30" t="s">
        <v>9</v>
      </c>
    </row>
    <row r="2" spans="1:34" ht="50.25" customHeight="1" x14ac:dyDescent="0.45">
      <c r="A2" s="777" t="s">
        <v>196</v>
      </c>
      <c r="B2" s="777"/>
      <c r="C2" s="777"/>
      <c r="D2" s="777"/>
      <c r="E2" s="777"/>
      <c r="F2" s="777"/>
      <c r="G2" s="777"/>
      <c r="H2" s="777"/>
      <c r="I2" s="777"/>
      <c r="J2" s="777"/>
      <c r="K2" s="777"/>
      <c r="L2" s="19"/>
      <c r="M2" s="19"/>
      <c r="N2" s="19"/>
      <c r="O2" s="19"/>
      <c r="P2" s="19"/>
      <c r="Q2" s="19"/>
      <c r="R2" s="19"/>
      <c r="S2" s="19"/>
      <c r="T2" s="19"/>
      <c r="U2" s="19"/>
      <c r="AD2" s="294" t="s">
        <v>170</v>
      </c>
      <c r="AF2" s="31" t="s">
        <v>171</v>
      </c>
      <c r="AH2" s="30" t="s">
        <v>9</v>
      </c>
    </row>
    <row r="3" spans="1:34" ht="23.25" x14ac:dyDescent="0.45">
      <c r="A3" s="49" t="str">
        <f>Arbejdsark!A2</f>
        <v>MILJØ KVALITET</v>
      </c>
      <c r="B3" s="49"/>
      <c r="C3" s="261"/>
      <c r="D3" s="261"/>
      <c r="E3" s="262"/>
      <c r="F3" s="262"/>
      <c r="G3" s="262"/>
      <c r="H3" s="262"/>
      <c r="I3" s="262"/>
      <c r="J3" s="262"/>
      <c r="K3" s="262"/>
      <c r="L3" s="19"/>
      <c r="M3" s="19"/>
      <c r="N3" s="19"/>
      <c r="O3" s="19"/>
      <c r="P3" s="19"/>
      <c r="Q3" s="19"/>
      <c r="R3" s="19"/>
      <c r="S3" s="19"/>
      <c r="T3" s="19"/>
      <c r="U3" s="19"/>
      <c r="AD3" s="294" t="s">
        <v>498</v>
      </c>
      <c r="AF3" s="31" t="s">
        <v>173</v>
      </c>
      <c r="AH3" s="294" t="s">
        <v>498</v>
      </c>
    </row>
    <row r="4" spans="1:34" s="33" customFormat="1" ht="20.25" customHeight="1" x14ac:dyDescent="0.45">
      <c r="A4" s="67" t="s">
        <v>118</v>
      </c>
      <c r="B4" s="67" t="s">
        <v>179</v>
      </c>
      <c r="C4" s="67" t="s">
        <v>167</v>
      </c>
      <c r="D4" s="68" t="s">
        <v>63</v>
      </c>
      <c r="E4" s="67" t="s">
        <v>190</v>
      </c>
      <c r="F4" s="67" t="s">
        <v>19</v>
      </c>
      <c r="G4" s="67" t="s">
        <v>183</v>
      </c>
      <c r="H4" s="67" t="s">
        <v>191</v>
      </c>
      <c r="I4" s="137" t="s">
        <v>61</v>
      </c>
      <c r="J4" s="67" t="s">
        <v>62</v>
      </c>
      <c r="K4" s="67" t="s">
        <v>185</v>
      </c>
      <c r="L4" s="32"/>
      <c r="M4" s="32"/>
      <c r="N4" s="32"/>
      <c r="O4" s="32"/>
      <c r="P4" s="32"/>
      <c r="Q4" s="32"/>
      <c r="R4" s="32"/>
      <c r="S4" s="32"/>
      <c r="T4" s="32"/>
      <c r="U4" s="32"/>
      <c r="AD4" s="294" t="s">
        <v>499</v>
      </c>
      <c r="AE4" s="30"/>
      <c r="AF4" s="31" t="s">
        <v>12</v>
      </c>
      <c r="AH4" s="294" t="s">
        <v>499</v>
      </c>
    </row>
    <row r="5" spans="1:34" ht="28.5" customHeight="1" x14ac:dyDescent="0.45">
      <c r="A5" s="49" t="str">
        <f>Arbejdsark!$A$4</f>
        <v>Materialer</v>
      </c>
      <c r="B5" s="50">
        <v>1</v>
      </c>
      <c r="C5" s="261"/>
      <c r="D5" s="261"/>
      <c r="E5" s="262"/>
      <c r="F5" s="262"/>
      <c r="G5" s="262"/>
      <c r="H5" s="262"/>
      <c r="I5" s="262" t="str">
        <f>IF('Sortering af spørgsmål'!$C$6=Projektforudsætninger!$C$19,"Udfyld spørgsmål","Ingen spørgsmål")</f>
        <v>Ingen spørgsmål</v>
      </c>
      <c r="J5" s="262"/>
      <c r="K5" s="262"/>
      <c r="L5" s="26">
        <f>Arbejdsark!L4</f>
        <v>0</v>
      </c>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D5" s="294" t="s">
        <v>495</v>
      </c>
      <c r="AH5" s="294" t="s">
        <v>495</v>
      </c>
    </row>
    <row r="6" spans="1:34" ht="141.75" customHeight="1" x14ac:dyDescent="0.45">
      <c r="A6" s="148" t="str">
        <f>Arbejdsark!$A$4</f>
        <v>Materialer</v>
      </c>
      <c r="B6" s="43" t="str">
        <f>Arbejdsark!$B$4</f>
        <v>1.1</v>
      </c>
      <c r="C6" s="45" t="str">
        <f>IF('Sortering af spørgsmål'!C6=Projektforudsætninger!$C$19,Arbejdsark!C4,"")</f>
        <v/>
      </c>
      <c r="D6" s="46"/>
      <c r="E6" s="45"/>
      <c r="F6" s="45"/>
      <c r="G6" s="45"/>
      <c r="H6" s="45"/>
      <c r="I6" s="45" t="str">
        <f>IF('Sortering af spørgsmål'!C6=Projektforudsætninger!$C$19,Arbejdsark!K4,"")</f>
        <v/>
      </c>
      <c r="J6" s="41" t="s">
        <v>9</v>
      </c>
      <c r="K6" s="41"/>
      <c r="L6" s="19"/>
      <c r="M6" s="19"/>
      <c r="N6" s="19"/>
      <c r="O6" s="19"/>
      <c r="P6" s="19"/>
      <c r="Q6" s="19"/>
      <c r="R6" s="19"/>
      <c r="S6" s="19"/>
      <c r="T6" s="19"/>
      <c r="U6" s="19"/>
      <c r="AD6" s="294" t="s">
        <v>186</v>
      </c>
    </row>
    <row r="7" spans="1:34" ht="141.75" customHeight="1" x14ac:dyDescent="0.45">
      <c r="A7" s="148" t="str">
        <f>Arbejdsark!$A$4</f>
        <v>Materialer</v>
      </c>
      <c r="B7" s="43" t="str">
        <f>Arbejdsark!$B$10</f>
        <v>1.2</v>
      </c>
      <c r="C7" s="45" t="str">
        <f>IF('Sortering af spørgsmål'!C6=Projektforudsætninger!$C$19,Arbejdsark!C10,"")</f>
        <v/>
      </c>
      <c r="D7" s="46" t="str">
        <f>Arbejdsark!D10</f>
        <v>ENV1.2</v>
      </c>
      <c r="E7" s="45" t="str">
        <f>Arbejdsark!I10</f>
        <v>x</v>
      </c>
      <c r="F7" s="45">
        <f>Arbejdsark!J10</f>
        <v>0</v>
      </c>
      <c r="G7" s="45" t="e">
        <f>Arbejdsark!#REF!</f>
        <v>#REF!</v>
      </c>
      <c r="H7" s="45" t="e">
        <f>Arbejdsark!#REF!</f>
        <v>#REF!</v>
      </c>
      <c r="I7" s="45" t="str">
        <f>IF('Sortering af spørgsmål'!C6=Projektforudsætninger!$C$19,Arbejdsark!K10,"")</f>
        <v/>
      </c>
      <c r="J7" s="41" t="s">
        <v>9</v>
      </c>
      <c r="K7" s="41"/>
      <c r="L7" s="19"/>
      <c r="M7" s="19"/>
      <c r="N7" s="19"/>
      <c r="O7" s="19"/>
      <c r="P7" s="19"/>
      <c r="Q7" s="19"/>
      <c r="R7" s="19"/>
      <c r="S7" s="19"/>
      <c r="T7" s="19"/>
      <c r="U7" s="19"/>
    </row>
    <row r="8" spans="1:34" ht="184.5" customHeight="1" x14ac:dyDescent="0.45">
      <c r="A8" s="148" t="str">
        <f>Arbejdsark!$A$4</f>
        <v>Materialer</v>
      </c>
      <c r="B8" s="43" t="str">
        <f>Arbejdsark!$B$15</f>
        <v>1.3</v>
      </c>
      <c r="C8" s="45" t="str">
        <f>IF('Sortering af spørgsmål'!C6=Projektforudsætninger!$C$19,Arbejdsark!C15,"")</f>
        <v/>
      </c>
      <c r="D8" s="46">
        <f>Arbejdsark!D11</f>
        <v>0</v>
      </c>
      <c r="E8" s="45">
        <f>Arbejdsark!I11</f>
        <v>0</v>
      </c>
      <c r="F8" s="45">
        <f>Arbejdsark!J11</f>
        <v>0</v>
      </c>
      <c r="G8" s="45" t="e">
        <f>Arbejdsark!#REF!</f>
        <v>#REF!</v>
      </c>
      <c r="H8" s="45" t="e">
        <f>Arbejdsark!#REF!</f>
        <v>#REF!</v>
      </c>
      <c r="I8" s="45" t="str">
        <f>IF('Sortering af spørgsmål'!C6=Projektforudsætninger!$C$19,Arbejdsark!K15,"")</f>
        <v/>
      </c>
      <c r="J8" s="41" t="s">
        <v>9</v>
      </c>
      <c r="K8" s="41"/>
      <c r="L8" s="19"/>
      <c r="M8" s="19"/>
      <c r="N8" s="19"/>
      <c r="O8" s="19"/>
      <c r="P8" s="19"/>
      <c r="Q8" s="19"/>
      <c r="R8" s="19"/>
      <c r="S8" s="19"/>
      <c r="T8" s="19"/>
      <c r="U8" s="19"/>
    </row>
    <row r="9" spans="1:34" ht="198.4" customHeight="1" x14ac:dyDescent="0.45">
      <c r="A9" s="148" t="str">
        <f>Arbejdsark!$A$4</f>
        <v>Materialer</v>
      </c>
      <c r="B9" s="43" t="str">
        <f>Arbejdsark!$B$20</f>
        <v>1.4</v>
      </c>
      <c r="C9" s="45" t="str">
        <f>IF('Sortering af spørgsmål'!C6=Projektforudsætninger!$C$19,Arbejdsark!C20,"")</f>
        <v/>
      </c>
      <c r="D9" s="46">
        <f>Arbejdsark!D12</f>
        <v>0</v>
      </c>
      <c r="E9" s="45">
        <f>Arbejdsark!I12</f>
        <v>0</v>
      </c>
      <c r="F9" s="45">
        <f>Arbejdsark!J12</f>
        <v>0</v>
      </c>
      <c r="G9" s="45" t="e">
        <f>Arbejdsark!#REF!</f>
        <v>#REF!</v>
      </c>
      <c r="H9" s="45" t="e">
        <f>Arbejdsark!#REF!</f>
        <v>#REF!</v>
      </c>
      <c r="I9" s="45" t="str">
        <f>IF('Sortering af spørgsmål'!C6=Projektforudsætninger!$C$19,Arbejdsark!K20,"")</f>
        <v/>
      </c>
      <c r="J9" s="41" t="s">
        <v>9</v>
      </c>
      <c r="K9" s="41"/>
      <c r="L9" s="19"/>
      <c r="M9" s="19"/>
      <c r="N9" s="19"/>
      <c r="O9" s="19"/>
      <c r="P9" s="19"/>
      <c r="Q9" s="19"/>
      <c r="R9" s="19"/>
      <c r="S9" s="19"/>
      <c r="T9" s="19"/>
      <c r="U9" s="19"/>
      <c r="AD9" s="294" t="s">
        <v>10</v>
      </c>
      <c r="AF9" s="30">
        <v>1</v>
      </c>
    </row>
    <row r="10" spans="1:34" x14ac:dyDescent="0.45">
      <c r="A10" s="45"/>
      <c r="B10" s="38"/>
      <c r="C10" s="45"/>
      <c r="D10" s="46"/>
      <c r="E10" s="45"/>
      <c r="F10" s="45"/>
      <c r="G10" s="45"/>
      <c r="H10" s="45"/>
      <c r="I10" s="45"/>
      <c r="J10" s="47"/>
      <c r="K10" s="47"/>
      <c r="L10" s="19"/>
      <c r="M10" s="19"/>
      <c r="N10" s="19"/>
      <c r="O10" s="19"/>
      <c r="P10" s="19"/>
      <c r="Q10" s="19"/>
      <c r="R10" s="19"/>
      <c r="S10" s="19"/>
      <c r="T10" s="19"/>
      <c r="U10" s="19"/>
      <c r="AD10" s="294" t="s">
        <v>12</v>
      </c>
      <c r="AF10" s="30">
        <v>2</v>
      </c>
    </row>
    <row r="11" spans="1:34" ht="28.5" customHeight="1" x14ac:dyDescent="0.45">
      <c r="A11" s="49" t="str">
        <f>Arbejdsark!$A$25</f>
        <v>Energi</v>
      </c>
      <c r="B11" s="50">
        <v>2</v>
      </c>
      <c r="C11" s="261"/>
      <c r="D11" s="261"/>
      <c r="E11" s="262"/>
      <c r="F11" s="262"/>
      <c r="G11" s="262"/>
      <c r="H11" s="262"/>
      <c r="I11" s="262" t="str">
        <f>IF('Sortering af spørgsmål'!$C$7=Projektforudsætninger!$C$19,"Udfyld spørgsmål","Ingen spørgsmål")</f>
        <v>Ingen spørgsmål</v>
      </c>
      <c r="J11" s="262"/>
      <c r="K11" s="262"/>
      <c r="L11" s="19"/>
      <c r="M11" s="19"/>
      <c r="N11" s="19"/>
      <c r="O11" s="19"/>
      <c r="P11" s="19"/>
      <c r="Q11" s="19"/>
      <c r="R11" s="19"/>
      <c r="S11" s="19"/>
      <c r="T11" s="19"/>
      <c r="U11" s="19"/>
      <c r="AD11" s="294" t="s">
        <v>192</v>
      </c>
      <c r="AF11" s="30">
        <v>3</v>
      </c>
    </row>
    <row r="12" spans="1:34" ht="255.4" customHeight="1" x14ac:dyDescent="0.45">
      <c r="A12" s="45" t="str">
        <f>Arbejdsark!$A$25</f>
        <v>Energi</v>
      </c>
      <c r="B12" s="43" t="str">
        <f>Arbejdsark!$B$25</f>
        <v>2.1</v>
      </c>
      <c r="C12" s="45" t="str">
        <f>IF('Sortering af spørgsmål'!C7=Projektforudsætninger!$C$19,Arbejdsark!C25,"")</f>
        <v/>
      </c>
      <c r="D12" s="46" t="str">
        <f>Arbejdsark!D15</f>
        <v>ENV1.3</v>
      </c>
      <c r="E12" s="45" t="str">
        <f>Arbejdsark!I15</f>
        <v>x</v>
      </c>
      <c r="F12" s="45">
        <f>Arbejdsark!J15</f>
        <v>0</v>
      </c>
      <c r="G12" s="45" t="e">
        <f>Arbejdsark!#REF!</f>
        <v>#REF!</v>
      </c>
      <c r="H12" s="45" t="e">
        <f>Arbejdsark!#REF!</f>
        <v>#REF!</v>
      </c>
      <c r="I12" s="45" t="str">
        <f>IF('Sortering af spørgsmål'!C7=Projektforudsætninger!$C$19,Arbejdsark!K25,"")</f>
        <v/>
      </c>
      <c r="J12" s="41" t="s">
        <v>9</v>
      </c>
      <c r="K12" s="41"/>
      <c r="L12" s="19"/>
      <c r="M12" s="19"/>
      <c r="N12" s="19"/>
      <c r="O12" s="19"/>
      <c r="P12" s="19"/>
      <c r="Q12" s="19"/>
      <c r="R12" s="19"/>
      <c r="S12" s="19"/>
      <c r="T12" s="19"/>
      <c r="U12" s="19"/>
      <c r="AF12" s="30">
        <v>4</v>
      </c>
    </row>
    <row r="13" spans="1:34" ht="99.4" customHeight="1" x14ac:dyDescent="0.45">
      <c r="A13" s="45" t="str">
        <f>Arbejdsark!$A$25</f>
        <v>Energi</v>
      </c>
      <c r="B13" s="43" t="str">
        <f>Arbejdsark!$B$30</f>
        <v>2.2</v>
      </c>
      <c r="C13" s="45" t="str">
        <f>IF('Sortering af spørgsmål'!C7=Projektforudsætninger!$C$19,Arbejdsark!C30,"")</f>
        <v/>
      </c>
      <c r="D13" s="46">
        <f>Arbejdsark!D16</f>
        <v>0</v>
      </c>
      <c r="E13" s="45">
        <f>Arbejdsark!I16</f>
        <v>0</v>
      </c>
      <c r="F13" s="45">
        <f>Arbejdsark!J16</f>
        <v>0</v>
      </c>
      <c r="G13" s="45" t="e">
        <f>Arbejdsark!#REF!</f>
        <v>#REF!</v>
      </c>
      <c r="H13" s="45" t="e">
        <f>Arbejdsark!#REF!</f>
        <v>#REF!</v>
      </c>
      <c r="I13" s="45" t="str">
        <f>IF('Sortering af spørgsmål'!C7=Projektforudsætninger!$C$19,Arbejdsark!K30,"")</f>
        <v/>
      </c>
      <c r="J13" s="41" t="s">
        <v>9</v>
      </c>
      <c r="K13" s="41"/>
      <c r="L13" s="19"/>
      <c r="M13" s="19"/>
      <c r="N13" s="19"/>
      <c r="O13" s="19"/>
      <c r="P13" s="19"/>
      <c r="Q13" s="19"/>
      <c r="R13" s="19"/>
      <c r="S13" s="19"/>
      <c r="T13" s="19"/>
      <c r="U13" s="19"/>
      <c r="AD13" s="294" t="s">
        <v>51</v>
      </c>
    </row>
    <row r="14" spans="1:34" ht="28.5" customHeight="1" x14ac:dyDescent="0.45">
      <c r="A14" s="45"/>
      <c r="B14" s="23"/>
      <c r="C14" s="45"/>
      <c r="D14" s="46"/>
      <c r="E14" s="45"/>
      <c r="F14" s="45"/>
      <c r="G14" s="45"/>
      <c r="H14" s="45"/>
      <c r="I14" s="45"/>
      <c r="J14" s="47"/>
      <c r="K14" s="47"/>
      <c r="L14" s="19"/>
      <c r="M14" s="19"/>
      <c r="N14" s="19"/>
      <c r="O14" s="19"/>
      <c r="P14" s="19"/>
      <c r="Q14" s="19"/>
      <c r="R14" s="19"/>
      <c r="S14" s="19"/>
      <c r="T14" s="19"/>
      <c r="U14" s="19"/>
      <c r="AD14" s="294" t="s">
        <v>176</v>
      </c>
      <c r="AF14" s="294">
        <v>3</v>
      </c>
    </row>
    <row r="15" spans="1:34" ht="28.5" customHeight="1" x14ac:dyDescent="0.45">
      <c r="A15" s="49" t="str">
        <f>Arbejdsark!$A$35</f>
        <v>Vand</v>
      </c>
      <c r="B15" s="50">
        <v>3</v>
      </c>
      <c r="C15" s="261"/>
      <c r="D15" s="261"/>
      <c r="E15" s="262"/>
      <c r="F15" s="262"/>
      <c r="G15" s="262"/>
      <c r="H15" s="262"/>
      <c r="I15" s="262" t="str">
        <f>IF('Sortering af spørgsmål'!$C$8=Projektforudsætninger!$C$19,"Udfyld spørgsmål","Ingen spørgsmål")</f>
        <v>Ingen spørgsmål</v>
      </c>
      <c r="J15" s="262"/>
      <c r="K15" s="262"/>
      <c r="L15" s="19"/>
      <c r="M15" s="19"/>
      <c r="N15" s="19"/>
      <c r="O15" s="19"/>
      <c r="P15" s="19"/>
      <c r="Q15" s="19"/>
      <c r="R15" s="19"/>
      <c r="S15" s="19"/>
      <c r="T15" s="19"/>
      <c r="U15" s="19"/>
      <c r="AD15" s="294" t="s">
        <v>55</v>
      </c>
      <c r="AE15" s="33"/>
      <c r="AF15" s="294">
        <v>2</v>
      </c>
    </row>
    <row r="16" spans="1:34" ht="170.25" customHeight="1" x14ac:dyDescent="0.45">
      <c r="A16" s="45" t="str">
        <f>Arbejdsark!$A$35</f>
        <v>Vand</v>
      </c>
      <c r="B16" s="43" t="str">
        <f>Arbejdsark!$B$35</f>
        <v>3.1</v>
      </c>
      <c r="C16" s="45" t="str">
        <f>IF('Sortering af spørgsmål'!C8=Projektforudsætninger!$C$19,Arbejdsark!C35,"")</f>
        <v/>
      </c>
      <c r="D16" s="46">
        <f>Arbejdsark!D18</f>
        <v>0</v>
      </c>
      <c r="E16" s="45">
        <f>Arbejdsark!I18</f>
        <v>0</v>
      </c>
      <c r="F16" s="45">
        <f>Arbejdsark!J18</f>
        <v>0</v>
      </c>
      <c r="G16" s="45" t="e">
        <f>Arbejdsark!#REF!</f>
        <v>#REF!</v>
      </c>
      <c r="H16" s="45" t="e">
        <f>Arbejdsark!#REF!</f>
        <v>#REF!</v>
      </c>
      <c r="I16" s="45" t="str">
        <f>IF('Sortering af spørgsmål'!C8=Projektforudsætninger!$C$19,Arbejdsark!K35,"")</f>
        <v/>
      </c>
      <c r="J16" s="41" t="s">
        <v>9</v>
      </c>
      <c r="K16" s="41"/>
      <c r="L16" s="19"/>
      <c r="M16" s="19"/>
      <c r="N16" s="19"/>
      <c r="O16" s="19"/>
      <c r="P16" s="19"/>
      <c r="Q16" s="19"/>
      <c r="R16" s="19"/>
      <c r="S16" s="19"/>
      <c r="T16" s="19"/>
      <c r="U16" s="19"/>
      <c r="AD16" s="294" t="s">
        <v>56</v>
      </c>
      <c r="AF16" s="294" t="s">
        <v>187</v>
      </c>
    </row>
    <row r="17" spans="1:21" ht="170.25" customHeight="1" x14ac:dyDescent="0.45">
      <c r="A17" s="45" t="str">
        <f>Arbejdsark!$A$35</f>
        <v>Vand</v>
      </c>
      <c r="B17" s="43" t="str">
        <f>Arbejdsark!$B$40</f>
        <v>3.2</v>
      </c>
      <c r="C17" s="45" t="str">
        <f>IF('Sortering af spørgsmål'!C8=Projektforudsætninger!$C$19,Arbejdsark!C40,"")</f>
        <v/>
      </c>
      <c r="D17" s="46" t="str">
        <f>Arbejdsark!D20</f>
        <v>ENV1.1 + ENV2.1
Vægtning: 40% af summen af ENV1.1 + ENV2.1 pkt. 1 og 2</v>
      </c>
      <c r="E17" s="45" t="str">
        <f>Arbejdsark!I20</f>
        <v>x</v>
      </c>
      <c r="F17" s="45">
        <f>Arbejdsark!J20</f>
        <v>0</v>
      </c>
      <c r="G17" s="45" t="e">
        <f>Arbejdsark!#REF!</f>
        <v>#REF!</v>
      </c>
      <c r="H17" s="45" t="e">
        <f>Arbejdsark!#REF!</f>
        <v>#REF!</v>
      </c>
      <c r="I17" s="45" t="str">
        <f>IF('Sortering af spørgsmål'!C8=Projektforudsætninger!$C$19,Arbejdsark!K40,"")</f>
        <v/>
      </c>
      <c r="J17" s="41" t="s">
        <v>9</v>
      </c>
      <c r="K17" s="41"/>
      <c r="L17" s="19"/>
      <c r="M17" s="19"/>
      <c r="N17" s="19"/>
      <c r="O17" s="19"/>
      <c r="P17" s="19"/>
      <c r="Q17" s="19"/>
      <c r="R17" s="19"/>
      <c r="S17" s="19"/>
      <c r="T17" s="19"/>
      <c r="U17" s="19"/>
    </row>
    <row r="18" spans="1:21" ht="99.4" customHeight="1" x14ac:dyDescent="0.45">
      <c r="A18" s="45" t="str">
        <f>Arbejdsark!$A$35</f>
        <v>Vand</v>
      </c>
      <c r="B18" s="43" t="str">
        <f>Arbejdsark!$B$45</f>
        <v>3.3</v>
      </c>
      <c r="C18" s="45" t="str">
        <f>IF('Sortering af spørgsmål'!C8=Projektforudsætninger!$C$19,Arbejdsark!C45,"")</f>
        <v/>
      </c>
      <c r="D18" s="46">
        <f>Arbejdsark!D21</f>
        <v>0</v>
      </c>
      <c r="E18" s="45">
        <f>Arbejdsark!I21</f>
        <v>0</v>
      </c>
      <c r="F18" s="45">
        <f>Arbejdsark!J21</f>
        <v>0</v>
      </c>
      <c r="G18" s="45" t="e">
        <f>Arbejdsark!#REF!</f>
        <v>#REF!</v>
      </c>
      <c r="H18" s="45" t="e">
        <f>Arbejdsark!#REF!</f>
        <v>#REF!</v>
      </c>
      <c r="I18" s="45" t="str">
        <f>IF('Sortering af spørgsmål'!$C$8=Projektforudsætninger!$C$19,Arbejdsark!K45,"")</f>
        <v/>
      </c>
      <c r="J18" s="41" t="s">
        <v>9</v>
      </c>
      <c r="K18" s="41"/>
      <c r="L18" s="19"/>
      <c r="M18" s="19"/>
      <c r="N18" s="19"/>
      <c r="O18" s="19"/>
      <c r="P18" s="19"/>
      <c r="Q18" s="19"/>
      <c r="R18" s="19"/>
      <c r="S18" s="19"/>
      <c r="T18" s="19"/>
      <c r="U18" s="19"/>
    </row>
    <row r="19" spans="1:21" ht="28.5" customHeight="1" x14ac:dyDescent="0.45">
      <c r="A19" s="45"/>
      <c r="B19" s="45"/>
      <c r="C19" s="45"/>
      <c r="D19" s="46"/>
      <c r="E19" s="45"/>
      <c r="F19" s="45"/>
      <c r="G19" s="45"/>
      <c r="H19" s="45"/>
      <c r="I19" s="45"/>
      <c r="J19" s="47"/>
      <c r="K19" s="47"/>
      <c r="L19" s="19"/>
      <c r="M19" s="19"/>
      <c r="N19" s="19"/>
      <c r="O19" s="19"/>
      <c r="P19" s="19"/>
      <c r="Q19" s="19"/>
      <c r="R19" s="19"/>
      <c r="S19" s="19"/>
      <c r="T19" s="19"/>
      <c r="U19" s="19"/>
    </row>
    <row r="20" spans="1:21" ht="28.5" customHeight="1" x14ac:dyDescent="0.45">
      <c r="A20" s="49" t="str">
        <f>Arbejdsark!$A$51</f>
        <v>Beplantning</v>
      </c>
      <c r="B20" s="50">
        <v>4</v>
      </c>
      <c r="C20" s="261"/>
      <c r="D20" s="261"/>
      <c r="E20" s="262"/>
      <c r="F20" s="262"/>
      <c r="G20" s="262"/>
      <c r="H20" s="262"/>
      <c r="I20" s="262" t="str">
        <f>IF('Sortering af spørgsmål'!$C$9=Projektforudsætninger!$C$19,"Udfyld spørgsmål","Ingen spørgsmål")</f>
        <v>Ingen spørgsmål</v>
      </c>
      <c r="J20" s="262"/>
      <c r="K20" s="262"/>
      <c r="L20" s="19"/>
      <c r="M20" s="19"/>
      <c r="N20" s="19"/>
      <c r="O20" s="19"/>
      <c r="P20" s="19"/>
      <c r="Q20" s="19"/>
      <c r="R20" s="19"/>
      <c r="S20" s="19"/>
      <c r="T20" s="19"/>
      <c r="U20" s="19"/>
    </row>
    <row r="21" spans="1:21" ht="127.5" customHeight="1" x14ac:dyDescent="0.45">
      <c r="A21" s="45" t="str">
        <f>Arbejdsark!$A$51</f>
        <v>Beplantning</v>
      </c>
      <c r="B21" s="43" t="str">
        <f>Arbejdsark!$B$51</f>
        <v>4.1</v>
      </c>
      <c r="C21" s="45" t="str">
        <f>IF('Sortering af spørgsmål'!C9=Projektforudsætninger!$C$19,Arbejdsark!C51,"")</f>
        <v/>
      </c>
      <c r="D21" s="46">
        <f>Arbejdsark!D23</f>
        <v>0</v>
      </c>
      <c r="E21" s="45">
        <f>Arbejdsark!I23</f>
        <v>0</v>
      </c>
      <c r="F21" s="45">
        <f>Arbejdsark!J23</f>
        <v>0</v>
      </c>
      <c r="G21" s="45" t="e">
        <f>Arbejdsark!#REF!</f>
        <v>#REF!</v>
      </c>
      <c r="H21" s="45" t="e">
        <f>Arbejdsark!#REF!</f>
        <v>#REF!</v>
      </c>
      <c r="I21" s="45" t="str">
        <f>IF('Sortering af spørgsmål'!$C$9=Projektforudsætninger!$C$19,Arbejdsark!K51,"")</f>
        <v/>
      </c>
      <c r="J21" s="41" t="s">
        <v>9</v>
      </c>
      <c r="K21" s="41"/>
      <c r="L21" s="19"/>
      <c r="M21" s="19"/>
      <c r="N21" s="19"/>
      <c r="O21" s="19"/>
      <c r="P21" s="19"/>
      <c r="Q21" s="19"/>
      <c r="R21" s="19"/>
      <c r="S21" s="19"/>
      <c r="T21" s="19"/>
      <c r="U21" s="19"/>
    </row>
    <row r="22" spans="1:21" ht="42.6" customHeight="1" x14ac:dyDescent="0.45">
      <c r="A22" s="45"/>
      <c r="B22" s="43" t="str">
        <f>Arbejdsark!$B$58</f>
        <v>4.2</v>
      </c>
      <c r="C22" s="45" t="str">
        <f>IF('Sortering af spørgsmål'!C16=Projektforudsætninger!$C$19,Arbejdsark!C58,"")</f>
        <v/>
      </c>
      <c r="D22" s="46"/>
      <c r="E22" s="45"/>
      <c r="F22" s="45"/>
      <c r="G22" s="45"/>
      <c r="H22" s="45"/>
      <c r="I22" s="45" t="str">
        <f>IF('Sortering af spørgsmål'!$C$9=Projektforudsætninger!$C$19,Arbejdsark!K58,"")</f>
        <v/>
      </c>
      <c r="J22" s="41" t="s">
        <v>9</v>
      </c>
      <c r="K22" s="41"/>
      <c r="L22" s="19"/>
      <c r="M22" s="19"/>
      <c r="N22" s="19"/>
      <c r="O22" s="19"/>
      <c r="P22" s="19"/>
      <c r="Q22" s="19"/>
      <c r="R22" s="19"/>
      <c r="S22" s="19"/>
      <c r="T22" s="19"/>
      <c r="U22" s="19"/>
    </row>
    <row r="23" spans="1:21" ht="113.65" customHeight="1" x14ac:dyDescent="0.45">
      <c r="A23" s="45" t="str">
        <f>Arbejdsark!$A$51</f>
        <v>Beplantning</v>
      </c>
      <c r="B23" s="43" t="str">
        <f>Arbejdsark!$B$63</f>
        <v>4.3</v>
      </c>
      <c r="C23" s="45" t="str">
        <f>IF('Sortering af spørgsmål'!C9=Projektforudsætninger!$C$19,Arbejdsark!C63,"")</f>
        <v/>
      </c>
      <c r="D23" s="46">
        <f>Arbejdsark!D24</f>
        <v>0</v>
      </c>
      <c r="E23" s="45">
        <f>Arbejdsark!I24</f>
        <v>0</v>
      </c>
      <c r="F23" s="45">
        <f>Arbejdsark!J24</f>
        <v>0</v>
      </c>
      <c r="G23" s="45" t="e">
        <f>Arbejdsark!#REF!</f>
        <v>#REF!</v>
      </c>
      <c r="H23" s="45" t="e">
        <f>Arbejdsark!#REF!</f>
        <v>#REF!</v>
      </c>
      <c r="I23" s="45" t="str">
        <f>IF('Sortering af spørgsmål'!C9=Projektforudsætninger!$C$19,Arbejdsark!K63,"")</f>
        <v/>
      </c>
      <c r="J23" s="41" t="s">
        <v>9</v>
      </c>
      <c r="K23" s="41"/>
      <c r="L23" s="19"/>
      <c r="M23" s="19"/>
      <c r="N23" s="19"/>
      <c r="O23" s="19"/>
      <c r="P23" s="19"/>
      <c r="Q23" s="19"/>
      <c r="R23" s="19"/>
      <c r="S23" s="19"/>
      <c r="T23" s="19"/>
      <c r="U23" s="19"/>
    </row>
    <row r="24" spans="1:21" ht="113.65" customHeight="1" x14ac:dyDescent="0.45">
      <c r="A24" s="45" t="str">
        <f>Arbejdsark!$A$51</f>
        <v>Beplantning</v>
      </c>
      <c r="B24" s="43" t="str">
        <f>Arbejdsark!$B$68</f>
        <v>4.4</v>
      </c>
      <c r="C24" s="45" t="str">
        <f>IF('Sortering af spørgsmål'!C9=Projektforudsætninger!$C$19,Arbejdsark!C68,"")</f>
        <v/>
      </c>
      <c r="D24" s="46" t="str">
        <f>Arbejdsark!D25</f>
        <v>ENV2.1
Vægtning: ENV2.1 pkt. 3</v>
      </c>
      <c r="E24" s="45" t="str">
        <f>Arbejdsark!I25</f>
        <v>x</v>
      </c>
      <c r="F24" s="45">
        <f>Arbejdsark!J25</f>
        <v>0</v>
      </c>
      <c r="G24" s="45" t="e">
        <f>Arbejdsark!#REF!</f>
        <v>#REF!</v>
      </c>
      <c r="H24" s="45" t="e">
        <f>Arbejdsark!#REF!</f>
        <v>#REF!</v>
      </c>
      <c r="I24" s="45" t="str">
        <f>IF('Sortering af spørgsmål'!$C$9=Projektforudsætninger!$C$19,Arbejdsark!K68,"")</f>
        <v/>
      </c>
      <c r="J24" s="41" t="s">
        <v>9</v>
      </c>
      <c r="K24" s="41"/>
      <c r="L24" s="19"/>
      <c r="M24" s="19"/>
      <c r="N24" s="19"/>
      <c r="O24" s="19"/>
      <c r="P24" s="19"/>
      <c r="Q24" s="19"/>
      <c r="R24" s="19"/>
      <c r="S24" s="19"/>
      <c r="T24" s="19"/>
      <c r="U24" s="19"/>
    </row>
    <row r="25" spans="1:21" x14ac:dyDescent="0.45">
      <c r="A25" s="45"/>
      <c r="B25" s="134"/>
      <c r="C25" s="45"/>
      <c r="D25" s="46"/>
      <c r="E25" s="45"/>
      <c r="F25" s="45"/>
      <c r="G25" s="45"/>
      <c r="H25" s="45"/>
      <c r="I25" s="45"/>
      <c r="J25" s="47"/>
      <c r="K25" s="47"/>
      <c r="L25" s="19"/>
      <c r="M25" s="19"/>
      <c r="N25" s="19"/>
      <c r="O25" s="19"/>
      <c r="P25" s="19"/>
      <c r="Q25" s="19"/>
      <c r="R25" s="19"/>
      <c r="S25" s="19"/>
      <c r="T25" s="19"/>
      <c r="U25" s="19"/>
    </row>
    <row r="26" spans="1:21" ht="28.5" customHeight="1" x14ac:dyDescent="0.45">
      <c r="A26" s="49" t="str">
        <f>Arbejdsark!$A$73</f>
        <v>Bebyggelsestæthed</v>
      </c>
      <c r="B26" s="50">
        <v>5</v>
      </c>
      <c r="C26" s="261"/>
      <c r="D26" s="261"/>
      <c r="E26" s="262"/>
      <c r="F26" s="262"/>
      <c r="G26" s="262"/>
      <c r="H26" s="262"/>
      <c r="I26" s="262" t="str">
        <f>IF('Sortering af spørgsmål'!$C$10=Projektforudsætninger!$C$19,"Udfyld spørgsmål","Ingen spørgsmål")</f>
        <v>Ingen spørgsmål</v>
      </c>
      <c r="J26" s="262"/>
      <c r="K26" s="262"/>
      <c r="L26" s="19"/>
      <c r="M26" s="19"/>
      <c r="N26" s="19"/>
      <c r="O26" s="19"/>
      <c r="P26" s="19"/>
      <c r="Q26" s="19"/>
      <c r="R26" s="19"/>
      <c r="S26" s="19"/>
      <c r="T26" s="19"/>
      <c r="U26" s="19"/>
    </row>
    <row r="27" spans="1:21" ht="198.4" customHeight="1" x14ac:dyDescent="0.45">
      <c r="A27" s="45" t="str">
        <f>Arbejdsark!$A$73</f>
        <v>Bebyggelsestæthed</v>
      </c>
      <c r="B27" s="43" t="str">
        <f>Arbejdsark!$B$73</f>
        <v>5.1</v>
      </c>
      <c r="C27" s="45" t="str">
        <f>IF(Projektforudsætninger!C37=Projektforudsætninger!H7,IF('Sortering af spørgsmål'!C10=Projektforudsætninger!$C$19,Arbejdsark!C73,""),"")</f>
        <v/>
      </c>
      <c r="D27" s="46">
        <f>Arbejdsark!D27</f>
        <v>0</v>
      </c>
      <c r="E27" s="45">
        <f>Arbejdsark!I27</f>
        <v>0</v>
      </c>
      <c r="F27" s="45">
        <f>Arbejdsark!J27</f>
        <v>0</v>
      </c>
      <c r="G27" s="45" t="e">
        <f>Arbejdsark!#REF!</f>
        <v>#REF!</v>
      </c>
      <c r="H27" s="45" t="e">
        <f>Arbejdsark!#REF!</f>
        <v>#REF!</v>
      </c>
      <c r="I27" s="45" t="str">
        <f>IF(Projektforudsætninger!C37=Projektforudsætninger!H7,IF('Sortering af spørgsmål'!$C$10=Projektforudsætninger!$C$19,Arbejdsark!K73,""),"")</f>
        <v/>
      </c>
      <c r="J27" s="41" t="s">
        <v>9</v>
      </c>
      <c r="K27" s="41"/>
      <c r="L27" s="19"/>
      <c r="M27" s="19"/>
      <c r="N27" s="19"/>
      <c r="O27" s="19"/>
      <c r="P27" s="19"/>
      <c r="Q27" s="19"/>
      <c r="R27" s="19"/>
      <c r="S27" s="19"/>
      <c r="T27" s="19"/>
      <c r="U27" s="19"/>
    </row>
    <row r="28" spans="1:21" x14ac:dyDescent="0.45">
      <c r="A28" s="45"/>
      <c r="B28" s="45"/>
      <c r="C28" s="45"/>
      <c r="D28" s="46"/>
      <c r="E28" s="45"/>
      <c r="F28" s="45"/>
      <c r="G28" s="45"/>
      <c r="H28" s="45"/>
      <c r="I28" s="45"/>
      <c r="J28" s="47"/>
      <c r="K28" s="47"/>
      <c r="L28" s="19"/>
      <c r="M28" s="19"/>
      <c r="N28" s="19"/>
      <c r="O28" s="19"/>
      <c r="P28" s="19"/>
      <c r="Q28" s="19"/>
      <c r="R28" s="19"/>
      <c r="S28" s="19"/>
      <c r="T28" s="19"/>
      <c r="U28" s="19"/>
    </row>
    <row r="29" spans="1:21" ht="28.5" customHeight="1" x14ac:dyDescent="0.45">
      <c r="A29" s="49" t="str">
        <f>Arbejdsark!$A$78</f>
        <v>Forurening</v>
      </c>
      <c r="B29" s="50">
        <v>6</v>
      </c>
      <c r="C29" s="261"/>
      <c r="D29" s="261"/>
      <c r="E29" s="262"/>
      <c r="F29" s="262"/>
      <c r="G29" s="262"/>
      <c r="H29" s="262"/>
      <c r="I29" s="262" t="str">
        <f>IF('Sortering af spørgsmål'!$C$11=Projektforudsætninger!$C$19,"Udfyld spørgsmål","Ingen spørgsmål")</f>
        <v>Ingen spørgsmål</v>
      </c>
      <c r="J29" s="262"/>
      <c r="K29" s="262"/>
      <c r="L29" s="19"/>
      <c r="M29" s="19"/>
      <c r="N29" s="19"/>
      <c r="O29" s="19"/>
      <c r="P29" s="19"/>
      <c r="Q29" s="19"/>
      <c r="R29" s="19"/>
      <c r="S29" s="19"/>
      <c r="T29" s="19"/>
      <c r="U29" s="19"/>
    </row>
    <row r="30" spans="1:21" ht="226.9" customHeight="1" x14ac:dyDescent="0.45">
      <c r="A30" s="45" t="str">
        <f>Arbejdsark!$A$78</f>
        <v>Forurening</v>
      </c>
      <c r="B30" s="43" t="str">
        <f>Arbejdsark!$B$78</f>
        <v>6.1</v>
      </c>
      <c r="C30" s="45" t="str">
        <f>IF('Sortering af spørgsmål'!C11=Projektforudsætninger!$C$19,Arbejdsark!C78,"")</f>
        <v/>
      </c>
      <c r="D30" s="46">
        <f>Arbejdsark!D29</f>
        <v>0</v>
      </c>
      <c r="E30" s="45">
        <f>Arbejdsark!I29</f>
        <v>0</v>
      </c>
      <c r="F30" s="45">
        <f>Arbejdsark!J29</f>
        <v>0</v>
      </c>
      <c r="G30" s="45" t="e">
        <f>Arbejdsark!#REF!</f>
        <v>#REF!</v>
      </c>
      <c r="H30" s="45" t="e">
        <f>Arbejdsark!#REF!</f>
        <v>#REF!</v>
      </c>
      <c r="I30" s="45" t="str">
        <f>IF('Sortering af spørgsmål'!$C$11=Projektforudsætninger!$C$19,Arbejdsark!K78,"")</f>
        <v/>
      </c>
      <c r="J30" s="41" t="s">
        <v>9</v>
      </c>
      <c r="K30" s="41"/>
      <c r="L30" s="19"/>
      <c r="M30" s="19"/>
      <c r="N30" s="19"/>
      <c r="O30" s="19"/>
      <c r="P30" s="19"/>
      <c r="Q30" s="19"/>
      <c r="R30" s="19"/>
      <c r="S30" s="19"/>
      <c r="T30" s="19"/>
      <c r="U30" s="19"/>
    </row>
    <row r="31" spans="1:21" ht="198.4" customHeight="1" x14ac:dyDescent="0.45">
      <c r="A31" s="45" t="str">
        <f>Arbejdsark!$A$78</f>
        <v>Forurening</v>
      </c>
      <c r="B31" s="43" t="str">
        <f>Arbejdsark!$B$84</f>
        <v>6.2</v>
      </c>
      <c r="C31" s="45" t="str">
        <f>IF('Sortering af spørgsmål'!C11=Projektforudsætninger!$C$19,Arbejdsark!C84,"")</f>
        <v/>
      </c>
      <c r="D31" s="46">
        <f>Arbejdsark!D31</f>
        <v>0</v>
      </c>
      <c r="E31" s="45">
        <f>Arbejdsark!I31</f>
        <v>0</v>
      </c>
      <c r="F31" s="45">
        <f>Arbejdsark!J31</f>
        <v>0</v>
      </c>
      <c r="G31" s="45" t="e">
        <f>Arbejdsark!#REF!</f>
        <v>#REF!</v>
      </c>
      <c r="H31" s="45" t="e">
        <f>Arbejdsark!#REF!</f>
        <v>#REF!</v>
      </c>
      <c r="I31" s="45" t="str">
        <f>IF('Sortering af spørgsmål'!$C$11=Projektforudsætninger!$C$19,Arbejdsark!K84,"")</f>
        <v/>
      </c>
      <c r="J31" s="41" t="s">
        <v>9</v>
      </c>
      <c r="K31" s="41"/>
      <c r="L31" s="19"/>
      <c r="M31" s="19"/>
      <c r="N31" s="19"/>
      <c r="O31" s="19"/>
      <c r="P31" s="19"/>
      <c r="Q31" s="19"/>
      <c r="R31" s="19"/>
      <c r="S31" s="19"/>
      <c r="T31" s="19"/>
      <c r="U31" s="19"/>
    </row>
    <row r="32" spans="1:21" x14ac:dyDescent="0.45">
      <c r="A32" s="45"/>
      <c r="B32" s="45"/>
      <c r="C32" s="45"/>
      <c r="D32" s="46"/>
      <c r="E32" s="45"/>
      <c r="F32" s="45"/>
      <c r="G32" s="45"/>
      <c r="H32" s="45"/>
      <c r="I32" s="45"/>
      <c r="J32" s="47"/>
      <c r="K32" s="47"/>
      <c r="L32" s="19"/>
      <c r="M32" s="19"/>
      <c r="N32" s="19"/>
      <c r="O32" s="19"/>
      <c r="P32" s="19"/>
      <c r="Q32" s="19"/>
      <c r="R32" s="19"/>
      <c r="S32" s="19"/>
      <c r="T32" s="19"/>
      <c r="U32" s="19"/>
    </row>
    <row r="33" spans="1:30" ht="28.5" customHeight="1" x14ac:dyDescent="0.45">
      <c r="A33" s="66" t="str">
        <f>Arbejdsark!$A$89</f>
        <v>ØKONOMISK  KVALITET</v>
      </c>
      <c r="B33" s="36"/>
      <c r="C33" s="66"/>
      <c r="D33" s="66"/>
      <c r="E33" s="66"/>
      <c r="F33" s="66"/>
      <c r="G33" s="66"/>
      <c r="H33" s="66"/>
      <c r="I33" s="36"/>
      <c r="J33" s="39"/>
      <c r="K33" s="39"/>
      <c r="L33" s="19"/>
      <c r="M33" s="19"/>
      <c r="N33" s="19"/>
      <c r="O33" s="19"/>
      <c r="P33" s="19"/>
      <c r="Q33" s="19"/>
      <c r="R33" s="19"/>
      <c r="S33" s="19"/>
      <c r="T33" s="19"/>
      <c r="U33" s="19"/>
    </row>
    <row r="34" spans="1:30" ht="28.5" customHeight="1" x14ac:dyDescent="0.45">
      <c r="A34" s="58" t="str">
        <f>$A$4</f>
        <v>Tema</v>
      </c>
      <c r="B34" s="58" t="s">
        <v>179</v>
      </c>
      <c r="C34" s="58" t="str">
        <f>$C$4</f>
        <v>Emne</v>
      </c>
      <c r="D34" s="58" t="str">
        <f>D4</f>
        <v>DGNB kriterium</v>
      </c>
      <c r="E34" s="58" t="str">
        <f>E4</f>
        <v>Byggeudvalg eller Hovedbestyrelse</v>
      </c>
      <c r="F34" s="58" t="str">
        <f>F4</f>
        <v>Projektleder</v>
      </c>
      <c r="G34" s="58" t="str">
        <f>G4</f>
        <v>#REFERENCE!</v>
      </c>
      <c r="H34" s="58" t="str">
        <f>H4</f>
        <v>Ikon</v>
      </c>
      <c r="I34" s="58" t="str">
        <f>$I$4</f>
        <v>Spørgsmål</v>
      </c>
      <c r="J34" s="59" t="str">
        <f>$J$4</f>
        <v>Svar</v>
      </c>
      <c r="K34" s="59" t="str">
        <f>$K$4</f>
        <v>Uddybende kommentarer</v>
      </c>
      <c r="L34" s="19"/>
      <c r="M34" s="19"/>
      <c r="N34" s="19"/>
      <c r="O34" s="19"/>
      <c r="P34" s="19"/>
      <c r="Q34" s="19"/>
      <c r="R34" s="19"/>
      <c r="S34" s="19"/>
      <c r="T34" s="19"/>
      <c r="U34" s="19"/>
      <c r="AD34" s="294" t="s">
        <v>24</v>
      </c>
    </row>
    <row r="35" spans="1:30" ht="28.5" customHeight="1" x14ac:dyDescent="0.45">
      <c r="A35" s="66" t="str">
        <f>Arbejdsark!$A$91</f>
        <v>Levetidsomkostninger</v>
      </c>
      <c r="B35" s="36">
        <v>1</v>
      </c>
      <c r="C35" s="66"/>
      <c r="D35" s="66"/>
      <c r="E35" s="66"/>
      <c r="F35" s="66"/>
      <c r="G35" s="66"/>
      <c r="H35" s="66"/>
      <c r="I35" s="36" t="str">
        <f>IF('Sortering af spørgsmål'!$C$12=Projektforudsætninger!$C$19,"Udfyld spørgsmål","Ingen spørgsmål")</f>
        <v>Ingen spørgsmål</v>
      </c>
      <c r="J35" s="39"/>
      <c r="K35" s="39"/>
      <c r="L35" s="19"/>
      <c r="M35" s="19"/>
      <c r="N35" s="19"/>
      <c r="O35" s="19"/>
      <c r="P35" s="19"/>
      <c r="Q35" s="19"/>
      <c r="R35" s="19"/>
      <c r="S35" s="19"/>
      <c r="T35" s="19"/>
      <c r="U35" s="19"/>
      <c r="AD35" s="294" t="s">
        <v>26</v>
      </c>
    </row>
    <row r="36" spans="1:30" ht="170.25" customHeight="1" x14ac:dyDescent="0.45">
      <c r="A36" s="45" t="str">
        <f>Arbejdsark!$A$91</f>
        <v>Levetidsomkostninger</v>
      </c>
      <c r="B36" s="43" t="str">
        <f>Arbejdsark!$B$91</f>
        <v>1.1</v>
      </c>
      <c r="C36" s="45" t="str">
        <f>IF('Sortering af spørgsmål'!C12=Projektforudsætninger!$C$19,Arbejdsark!C91,"")</f>
        <v/>
      </c>
      <c r="D36" s="46" t="str">
        <f>Arbejdsark!D35</f>
        <v>ENV2.2
Vægtning: 20% af ENV2.2</v>
      </c>
      <c r="E36" s="45" t="str">
        <f>Arbejdsark!I35</f>
        <v>x</v>
      </c>
      <c r="F36" s="45">
        <f>Arbejdsark!J35</f>
        <v>0</v>
      </c>
      <c r="G36" s="45" t="e">
        <f>Arbejdsark!#REF!</f>
        <v>#REF!</v>
      </c>
      <c r="H36" s="45" t="e">
        <f>Arbejdsark!#REF!</f>
        <v>#REF!</v>
      </c>
      <c r="I36" s="45" t="str">
        <f>IF('Sortering af spørgsmål'!C12=Projektforudsætninger!$C$19,Arbejdsark!K91,"")</f>
        <v/>
      </c>
      <c r="J36" s="41" t="s">
        <v>9</v>
      </c>
      <c r="K36" s="41"/>
      <c r="L36" s="19"/>
      <c r="M36" s="19"/>
      <c r="N36" s="19"/>
      <c r="O36" s="19"/>
      <c r="P36" s="19"/>
      <c r="Q36" s="19"/>
      <c r="R36" s="19"/>
      <c r="S36" s="19"/>
      <c r="T36" s="19"/>
      <c r="U36" s="19"/>
      <c r="AD36" s="294" t="s">
        <v>28</v>
      </c>
    </row>
    <row r="37" spans="1:30" ht="70.900000000000006" customHeight="1" x14ac:dyDescent="0.45">
      <c r="A37" s="45" t="str">
        <f>Arbejdsark!$A$91</f>
        <v>Levetidsomkostninger</v>
      </c>
      <c r="B37" s="43" t="str">
        <f>Arbejdsark!$B$109</f>
        <v>1.2</v>
      </c>
      <c r="C37" s="45" t="str">
        <f>IF('Sortering af spørgsmål'!C12=Projektforudsætninger!$C$19,Arbejdsark!C109,"")</f>
        <v/>
      </c>
      <c r="D37" s="46">
        <f>Arbejdsark!D37</f>
        <v>0</v>
      </c>
      <c r="E37" s="45">
        <f>Arbejdsark!I37</f>
        <v>0</v>
      </c>
      <c r="F37" s="45">
        <f>Arbejdsark!J37</f>
        <v>0</v>
      </c>
      <c r="G37" s="45" t="e">
        <f>Arbejdsark!#REF!</f>
        <v>#REF!</v>
      </c>
      <c r="H37" s="45" t="e">
        <f>Arbejdsark!#REF!</f>
        <v>#REF!</v>
      </c>
      <c r="I37" s="45" t="str">
        <f>IF('Sortering af spørgsmål'!C12=Projektforudsætninger!$C$19,Arbejdsark!K109,"")</f>
        <v/>
      </c>
      <c r="J37" s="41" t="s">
        <v>9</v>
      </c>
      <c r="K37" s="41"/>
      <c r="L37" s="19"/>
      <c r="M37" s="19"/>
      <c r="N37" s="19"/>
      <c r="O37" s="19"/>
      <c r="P37" s="19"/>
      <c r="Q37" s="19"/>
      <c r="R37" s="19"/>
      <c r="S37" s="19"/>
      <c r="T37" s="19"/>
      <c r="U37" s="19"/>
      <c r="AD37" s="294" t="s">
        <v>31</v>
      </c>
    </row>
    <row r="38" spans="1:30" ht="23.25" x14ac:dyDescent="0.45">
      <c r="A38" s="45"/>
      <c r="B38" s="45"/>
      <c r="C38" s="45"/>
      <c r="D38" s="46"/>
      <c r="E38" s="45"/>
      <c r="F38" s="45"/>
      <c r="G38" s="45"/>
      <c r="H38" s="45"/>
      <c r="I38" s="45"/>
      <c r="J38" s="47"/>
      <c r="K38" s="47"/>
      <c r="L38" s="19"/>
      <c r="M38" s="19"/>
      <c r="N38" s="19"/>
      <c r="O38" s="19"/>
      <c r="P38" s="19"/>
      <c r="Q38" s="19"/>
      <c r="R38" s="19"/>
      <c r="S38" s="19"/>
      <c r="T38" s="19"/>
      <c r="U38" s="19"/>
      <c r="AD38" s="294" t="s">
        <v>33</v>
      </c>
    </row>
    <row r="39" spans="1:30" ht="28.5" customHeight="1" x14ac:dyDescent="0.45">
      <c r="A39" s="66" t="str">
        <f>Arbejdsark!$A$114</f>
        <v>Fleksibilitet</v>
      </c>
      <c r="B39" s="36">
        <v>2</v>
      </c>
      <c r="C39" s="66"/>
      <c r="D39" s="66"/>
      <c r="E39" s="66"/>
      <c r="F39" s="66"/>
      <c r="G39" s="66"/>
      <c r="H39" s="66"/>
      <c r="I39" s="36" t="str">
        <f>IF('Sortering af spørgsmål'!$C$13=Projektforudsætninger!$C$19,"Udfyld spørgsmål","Ingen spørgsmål")</f>
        <v>Ingen spørgsmål</v>
      </c>
      <c r="J39" s="39"/>
      <c r="K39" s="39"/>
      <c r="L39" s="19"/>
      <c r="M39" s="19"/>
      <c r="N39" s="19"/>
      <c r="O39" s="19"/>
      <c r="P39" s="19"/>
      <c r="Q39" s="19"/>
      <c r="R39" s="19"/>
      <c r="S39" s="19"/>
      <c r="T39" s="19"/>
      <c r="U39" s="19"/>
      <c r="AD39" s="294" t="s">
        <v>35</v>
      </c>
    </row>
    <row r="40" spans="1:30" ht="170.25" customHeight="1" x14ac:dyDescent="0.45">
      <c r="A40" s="45" t="str">
        <f>Arbejdsark!$A$114</f>
        <v>Fleksibilitet</v>
      </c>
      <c r="B40" s="43" t="str">
        <f>Arbejdsark!$B$114</f>
        <v>2.1</v>
      </c>
      <c r="C40" s="45" t="str">
        <f>IF('Sortering af spørgsmål'!C13=Projektforudsætninger!$C$19,Arbejdsark!C114,"")</f>
        <v/>
      </c>
      <c r="D40" s="46">
        <f>Arbejdsark!D39</f>
        <v>0</v>
      </c>
      <c r="E40" s="45">
        <f>Arbejdsark!I39</f>
        <v>0</v>
      </c>
      <c r="F40" s="45">
        <f>Arbejdsark!J39</f>
        <v>0</v>
      </c>
      <c r="G40" s="45" t="e">
        <f>Arbejdsark!#REF!</f>
        <v>#REF!</v>
      </c>
      <c r="H40" s="45" t="e">
        <f>Arbejdsark!#REF!</f>
        <v>#REF!</v>
      </c>
      <c r="I40" s="45" t="str">
        <f>IF('Sortering af spørgsmål'!$C$13=Projektforudsætninger!$C$19,Arbejdsark!K114,"")</f>
        <v/>
      </c>
      <c r="J40" s="41" t="s">
        <v>9</v>
      </c>
      <c r="K40" s="41"/>
      <c r="L40" s="19"/>
      <c r="M40" s="19"/>
      <c r="N40" s="19"/>
      <c r="O40" s="19"/>
      <c r="P40" s="19"/>
      <c r="Q40" s="19"/>
      <c r="R40" s="19"/>
      <c r="S40" s="19"/>
      <c r="T40" s="19"/>
      <c r="U40" s="19"/>
      <c r="AD40" s="294" t="s">
        <v>37</v>
      </c>
    </row>
    <row r="41" spans="1:30" ht="198.4" customHeight="1" x14ac:dyDescent="0.45">
      <c r="A41" s="45" t="str">
        <f>Arbejdsark!$A$114</f>
        <v>Fleksibilitet</v>
      </c>
      <c r="B41" s="43" t="str">
        <f>Arbejdsark!$B$119</f>
        <v>2.2</v>
      </c>
      <c r="C41" s="45" t="str">
        <f>IF('Sortering af spørgsmål'!C13=Projektforudsætninger!$C$19,Arbejdsark!C119,"")</f>
        <v/>
      </c>
      <c r="D41" s="46" t="str">
        <f>Arbejdsark!D40</f>
        <v>ENV2.2
Vægtning: 20% af ENV2.2</v>
      </c>
      <c r="E41" s="45" t="str">
        <f>Arbejdsark!I40</f>
        <v>x</v>
      </c>
      <c r="F41" s="45">
        <f>Arbejdsark!J40</f>
        <v>0</v>
      </c>
      <c r="G41" s="45" t="e">
        <f>Arbejdsark!#REF!</f>
        <v>#REF!</v>
      </c>
      <c r="H41" s="45" t="e">
        <f>Arbejdsark!#REF!</f>
        <v>#REF!</v>
      </c>
      <c r="I41" s="45" t="str">
        <f>IF('Sortering af spørgsmål'!$C$13=Projektforudsætninger!$C$19,Arbejdsark!K119,"")</f>
        <v/>
      </c>
      <c r="J41" s="41" t="s">
        <v>9</v>
      </c>
      <c r="K41" s="41"/>
      <c r="L41" s="19"/>
      <c r="M41" s="19"/>
      <c r="N41" s="19"/>
      <c r="O41" s="19"/>
      <c r="P41" s="19"/>
      <c r="Q41" s="19"/>
      <c r="R41" s="19"/>
      <c r="S41" s="19"/>
      <c r="T41" s="19"/>
      <c r="U41" s="19"/>
      <c r="AD41" s="294" t="s">
        <v>42</v>
      </c>
    </row>
    <row r="42" spans="1:30" ht="198.4" customHeight="1" x14ac:dyDescent="0.45">
      <c r="A42" s="45" t="str">
        <f>Arbejdsark!$A$114</f>
        <v>Fleksibilitet</v>
      </c>
      <c r="B42" s="43" t="str">
        <f>Arbejdsark!$B$124</f>
        <v>2.3</v>
      </c>
      <c r="C42" s="45" t="str">
        <f>IF('Sortering af spørgsmål'!C13=Projektforudsætninger!$C$19,Arbejdsark!C124,"")</f>
        <v/>
      </c>
      <c r="D42" s="46">
        <f>Arbejdsark!D41</f>
        <v>0</v>
      </c>
      <c r="E42" s="45">
        <f>Arbejdsark!I41</f>
        <v>0</v>
      </c>
      <c r="F42" s="45">
        <f>Arbejdsark!J41</f>
        <v>0</v>
      </c>
      <c r="G42" s="45" t="e">
        <f>Arbejdsark!#REF!</f>
        <v>#REF!</v>
      </c>
      <c r="H42" s="45" t="e">
        <f>Arbejdsark!#REF!</f>
        <v>#REF!</v>
      </c>
      <c r="I42" s="45" t="str">
        <f>IF('Sortering af spørgsmål'!C13=Projektforudsætninger!$C$19,Arbejdsark!K124,"")</f>
        <v/>
      </c>
      <c r="J42" s="41" t="s">
        <v>9</v>
      </c>
      <c r="K42" s="41"/>
      <c r="L42" s="19"/>
      <c r="M42" s="19"/>
      <c r="N42" s="19"/>
      <c r="O42" s="19"/>
      <c r="P42" s="19"/>
      <c r="Q42" s="19"/>
      <c r="R42" s="19"/>
      <c r="S42" s="19"/>
      <c r="T42" s="19"/>
      <c r="U42" s="19"/>
      <c r="AD42" s="294" t="s">
        <v>45</v>
      </c>
    </row>
    <row r="43" spans="1:30" ht="255.4" customHeight="1" x14ac:dyDescent="0.45">
      <c r="A43" s="45" t="str">
        <f>Arbejdsark!$A$114</f>
        <v>Fleksibilitet</v>
      </c>
      <c r="B43" s="43" t="str">
        <f>Arbejdsark!$B$129</f>
        <v>2.4</v>
      </c>
      <c r="C43" s="45" t="str">
        <f>IF('Sortering af spørgsmål'!C13=Projektforudsætninger!$C$19,Arbejdsark!C129,"")</f>
        <v/>
      </c>
      <c r="D43" s="46">
        <f>Arbejdsark!D42</f>
        <v>0</v>
      </c>
      <c r="E43" s="45">
        <f>Arbejdsark!I42</f>
        <v>0</v>
      </c>
      <c r="F43" s="45">
        <f>Arbejdsark!J42</f>
        <v>0</v>
      </c>
      <c r="G43" s="45" t="e">
        <f>Arbejdsark!#REF!</f>
        <v>#REF!</v>
      </c>
      <c r="H43" s="45" t="e">
        <f>Arbejdsark!#REF!</f>
        <v>#REF!</v>
      </c>
      <c r="I43" s="45" t="str">
        <f>IF('Sortering af spørgsmål'!C13=Projektforudsætninger!$C$19,Arbejdsark!K129,"")</f>
        <v/>
      </c>
      <c r="J43" s="41" t="s">
        <v>9</v>
      </c>
      <c r="K43" s="41"/>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spørgsmål'!C13=Projektforudsætninger!$C$19,Arbejdsark!C134,"")</f>
        <v/>
      </c>
      <c r="D44" s="46">
        <f>Arbejdsark!D43</f>
        <v>0</v>
      </c>
      <c r="E44" s="45">
        <f>Arbejdsark!I43</f>
        <v>0</v>
      </c>
      <c r="F44" s="45">
        <f>Arbejdsark!J43</f>
        <v>0</v>
      </c>
      <c r="G44" s="45" t="e">
        <f>Arbejdsark!#REF!</f>
        <v>#REF!</v>
      </c>
      <c r="H44" s="45" t="e">
        <f>Arbejdsark!#REF!</f>
        <v>#REF!</v>
      </c>
      <c r="I44" s="45" t="str">
        <f>IF('Sortering af spørgsmål'!C13=Projektforudsætninger!$C$19,Arbejdsark!K134,"")</f>
        <v/>
      </c>
      <c r="J44" s="41" t="s">
        <v>9</v>
      </c>
      <c r="K44" s="41"/>
      <c r="L44" s="19"/>
      <c r="M44" s="19"/>
      <c r="N44" s="19"/>
      <c r="O44" s="19"/>
      <c r="P44" s="19"/>
      <c r="Q44" s="19"/>
      <c r="R44" s="19"/>
      <c r="S44" s="19"/>
      <c r="T44" s="19"/>
      <c r="U44" s="19"/>
    </row>
    <row r="45" spans="1:30" ht="141.75" customHeight="1" x14ac:dyDescent="0.45">
      <c r="A45" s="45" t="str">
        <f>Arbejdsark!$A$114</f>
        <v>Fleksibilitet</v>
      </c>
      <c r="B45" s="43" t="str">
        <f>Arbejdsark!$B$139</f>
        <v>2.6</v>
      </c>
      <c r="C45" s="45" t="str">
        <f>IF('Sortering af spørgsmål'!C13=Projektforudsætninger!$C$19,Arbejdsark!C139,"")</f>
        <v/>
      </c>
      <c r="D45" s="46">
        <f>Arbejdsark!D44</f>
        <v>0</v>
      </c>
      <c r="E45" s="45">
        <f>Arbejdsark!I44</f>
        <v>0</v>
      </c>
      <c r="F45" s="45">
        <f>Arbejdsark!J44</f>
        <v>0</v>
      </c>
      <c r="G45" s="45" t="e">
        <f>Arbejdsark!#REF!</f>
        <v>#REF!</v>
      </c>
      <c r="H45" s="45" t="e">
        <f>Arbejdsark!#REF!</f>
        <v>#REF!</v>
      </c>
      <c r="I45" s="45" t="str">
        <f>IF('Sortering af spørgsmål'!C13=Projektforudsætninger!$C$19,Arbejdsark!K139,"")</f>
        <v/>
      </c>
      <c r="J45" s="41" t="s">
        <v>9</v>
      </c>
      <c r="K45" s="41"/>
      <c r="L45" s="19"/>
      <c r="M45" s="19"/>
      <c r="N45" s="19"/>
      <c r="O45" s="19"/>
      <c r="P45" s="19"/>
      <c r="Q45" s="19"/>
      <c r="R45" s="19"/>
      <c r="S45" s="19"/>
      <c r="T45" s="19"/>
      <c r="U45" s="19"/>
    </row>
    <row r="46" spans="1:30" ht="198.4" customHeight="1" x14ac:dyDescent="0.45">
      <c r="A46" s="45" t="str">
        <f>Arbejdsark!$A$114</f>
        <v>Fleksibilitet</v>
      </c>
      <c r="B46" s="43" t="str">
        <f>Arbejdsark!$B$144</f>
        <v>2.7</v>
      </c>
      <c r="C46" s="45" t="str">
        <f>IF('Sortering af spørgsmål'!C13=Projektforudsætninger!$C$19,Arbejdsark!C144,"")</f>
        <v/>
      </c>
      <c r="D46" s="46"/>
      <c r="E46" s="45"/>
      <c r="F46" s="45"/>
      <c r="G46" s="45"/>
      <c r="H46" s="45"/>
      <c r="I46" s="45" t="str">
        <f>IF('Sortering af spørgsmål'!C13=Projektforudsætninger!$C$19,Arbejdsark!K144,"")</f>
        <v/>
      </c>
      <c r="J46" s="41" t="s">
        <v>9</v>
      </c>
      <c r="K46" s="41"/>
      <c r="L46" s="19"/>
      <c r="M46" s="19"/>
      <c r="N46" s="19"/>
      <c r="O46" s="19"/>
      <c r="P46" s="19"/>
      <c r="Q46" s="19"/>
      <c r="R46" s="19"/>
      <c r="S46" s="19"/>
      <c r="T46" s="19"/>
      <c r="U46" s="19"/>
    </row>
    <row r="47" spans="1:30" ht="170.25" customHeight="1" x14ac:dyDescent="0.45">
      <c r="A47" s="45" t="str">
        <f>Arbejdsark!$A$114</f>
        <v>Fleksibilitet</v>
      </c>
      <c r="B47" s="43" t="str">
        <f>Arbejdsark!$B$149</f>
        <v>2.8</v>
      </c>
      <c r="C47" s="45" t="str">
        <f>IF('Sortering af spørgsmål'!C13=Projektforudsætninger!$C$19,Arbejdsark!C149,"")</f>
        <v/>
      </c>
      <c r="D47" s="46" t="str">
        <f>Arbejdsark!D45</f>
        <v>ENV2.2
Vægtning: 60% af ENV2.2</v>
      </c>
      <c r="E47" s="45" t="str">
        <f>Arbejdsark!I45</f>
        <v>x</v>
      </c>
      <c r="F47" s="45">
        <f>Arbejdsark!J45</f>
        <v>0</v>
      </c>
      <c r="G47" s="45" t="e">
        <f>Arbejdsark!#REF!</f>
        <v>#REF!</v>
      </c>
      <c r="H47" s="45" t="e">
        <f>Arbejdsark!#REF!</f>
        <v>#REF!</v>
      </c>
      <c r="I47" s="45" t="str">
        <f>IF('Sortering af spørgsmål'!C13=Projektforudsætninger!$C$19,Arbejdsark!K149,"")</f>
        <v/>
      </c>
      <c r="J47" s="41" t="s">
        <v>9</v>
      </c>
      <c r="K47" s="41"/>
      <c r="L47" s="19"/>
      <c r="M47" s="19"/>
      <c r="N47" s="19"/>
      <c r="O47" s="19"/>
      <c r="P47" s="19"/>
      <c r="Q47" s="19"/>
      <c r="R47" s="19"/>
      <c r="S47" s="19"/>
      <c r="T47" s="19"/>
      <c r="U47" s="19"/>
    </row>
    <row r="48" spans="1:30" x14ac:dyDescent="0.45">
      <c r="A48" s="45"/>
      <c r="B48" s="45"/>
      <c r="C48" s="45"/>
      <c r="D48" s="46"/>
      <c r="E48" s="45"/>
      <c r="F48" s="45"/>
      <c r="G48" s="45"/>
      <c r="H48" s="45"/>
      <c r="I48" s="45"/>
      <c r="J48" s="47"/>
      <c r="K48" s="47"/>
      <c r="L48" s="19"/>
      <c r="M48" s="19"/>
      <c r="N48" s="19"/>
      <c r="O48" s="19"/>
      <c r="P48" s="19"/>
      <c r="Q48" s="19"/>
      <c r="R48" s="19"/>
      <c r="S48" s="19"/>
      <c r="T48" s="19"/>
      <c r="U48" s="19"/>
    </row>
    <row r="49" spans="1:21" ht="28.5" customHeight="1" x14ac:dyDescent="0.45">
      <c r="A49" s="66" t="str">
        <f>Arbejdsark!$A$154</f>
        <v>Robusthed</v>
      </c>
      <c r="B49" s="36">
        <v>3</v>
      </c>
      <c r="C49" s="66"/>
      <c r="D49" s="66"/>
      <c r="E49" s="66"/>
      <c r="F49" s="66"/>
      <c r="G49" s="66"/>
      <c r="H49" s="66"/>
      <c r="I49" s="36" t="str">
        <f>IF('Sortering af spørgsmål'!$C$14=Projektforudsætninger!$C$19,"Udfyld spørgsmål","Ingen spørgsmål")</f>
        <v>Ingen spørgsmål</v>
      </c>
      <c r="J49" s="39"/>
      <c r="K49" s="39"/>
      <c r="L49" s="19"/>
      <c r="M49" s="19"/>
      <c r="N49" s="19"/>
      <c r="O49" s="19"/>
      <c r="P49" s="19"/>
      <c r="Q49" s="19"/>
      <c r="R49" s="19"/>
      <c r="S49" s="19"/>
      <c r="T49" s="19"/>
      <c r="U49" s="19"/>
    </row>
    <row r="50" spans="1:21" ht="70.900000000000006" customHeight="1" x14ac:dyDescent="0.45">
      <c r="A50" s="45" t="str">
        <f>Arbejdsark!$A$154</f>
        <v>Robusthed</v>
      </c>
      <c r="B50" s="43" t="str">
        <f>Arbejdsark!$B$154</f>
        <v>3.1</v>
      </c>
      <c r="C50" s="45" t="str">
        <f>IF('Sortering af spørgsmål'!$C$14=Projektforudsætninger!$C$19,Arbejdsark!C154,"")</f>
        <v/>
      </c>
      <c r="D50" s="46">
        <f>Arbejdsark!D47</f>
        <v>0</v>
      </c>
      <c r="E50" s="45">
        <f>Arbejdsark!I47</f>
        <v>0</v>
      </c>
      <c r="F50" s="45">
        <f>Arbejdsark!J47</f>
        <v>0</v>
      </c>
      <c r="G50" s="45" t="e">
        <f>Arbejdsark!#REF!</f>
        <v>#REF!</v>
      </c>
      <c r="H50" s="45" t="e">
        <f>Arbejdsark!#REF!</f>
        <v>#REF!</v>
      </c>
      <c r="I50" s="45" t="str">
        <f>IF('Sortering af spørgsmål'!$C$14=Projektforudsætninger!$C$19,Arbejdsark!K154,"")</f>
        <v/>
      </c>
      <c r="J50" s="41" t="s">
        <v>9</v>
      </c>
      <c r="K50" s="41"/>
      <c r="L50" s="19"/>
      <c r="M50" s="19"/>
      <c r="N50" s="19"/>
      <c r="O50" s="19"/>
      <c r="P50" s="19"/>
      <c r="Q50" s="19"/>
      <c r="R50" s="19"/>
      <c r="S50" s="19"/>
      <c r="T50" s="19"/>
      <c r="U50" s="19"/>
    </row>
    <row r="51" spans="1:21" ht="70.900000000000006" customHeight="1" x14ac:dyDescent="0.45">
      <c r="A51" s="45" t="str">
        <f>Arbejdsark!$A$154</f>
        <v>Robusthed</v>
      </c>
      <c r="B51" s="43" t="str">
        <f>Arbejdsark!$B$159</f>
        <v>3.2</v>
      </c>
      <c r="C51" s="45" t="str">
        <f>IF('Sortering af spørgsmål'!$C$14=Projektforudsætninger!$C$19,Arbejdsark!C159,"")</f>
        <v/>
      </c>
      <c r="D51" s="46">
        <f>Arbejdsark!D50</f>
        <v>0</v>
      </c>
      <c r="E51" s="45">
        <f>Arbejdsark!I50</f>
        <v>0</v>
      </c>
      <c r="F51" s="45">
        <f>Arbejdsark!J50</f>
        <v>0</v>
      </c>
      <c r="G51" s="45" t="e">
        <f>Arbejdsark!#REF!</f>
        <v>#REF!</v>
      </c>
      <c r="H51" s="45" t="e">
        <f>Arbejdsark!#REF!</f>
        <v>#REF!</v>
      </c>
      <c r="I51" s="45" t="str">
        <f>IF('Sortering af spørgsmål'!$C$14=Projektforudsætninger!$C$19,Arbejdsark!K159,"")</f>
        <v/>
      </c>
      <c r="J51" s="41" t="s">
        <v>9</v>
      </c>
      <c r="K51" s="41"/>
      <c r="L51" s="19"/>
      <c r="M51" s="19"/>
      <c r="N51" s="19"/>
      <c r="O51" s="19"/>
      <c r="P51" s="19"/>
      <c r="Q51" s="19"/>
      <c r="R51" s="19"/>
      <c r="S51" s="19"/>
      <c r="T51" s="19"/>
      <c r="U51" s="19"/>
    </row>
    <row r="52" spans="1:21" x14ac:dyDescent="0.45">
      <c r="A52" s="45"/>
      <c r="B52" s="45"/>
      <c r="C52" s="45"/>
      <c r="D52" s="46"/>
      <c r="E52" s="45"/>
      <c r="F52" s="45"/>
      <c r="G52" s="45"/>
      <c r="H52" s="45"/>
      <c r="I52" s="45"/>
      <c r="J52" s="47"/>
      <c r="K52" s="47"/>
      <c r="L52" s="19"/>
      <c r="M52" s="19"/>
      <c r="N52" s="19"/>
      <c r="O52" s="19"/>
      <c r="P52" s="19"/>
      <c r="Q52" s="19"/>
      <c r="R52" s="19"/>
      <c r="S52" s="19"/>
      <c r="T52" s="19"/>
      <c r="U52" s="19"/>
    </row>
    <row r="53" spans="1:21" ht="28.5" customHeight="1" x14ac:dyDescent="0.45">
      <c r="A53" s="56" t="str">
        <f>Arbejdsark!$A$165</f>
        <v>SOCIAL KVALITET</v>
      </c>
      <c r="B53" s="56"/>
      <c r="C53" s="56"/>
      <c r="D53" s="56"/>
      <c r="E53" s="56"/>
      <c r="F53" s="56"/>
      <c r="G53" s="56"/>
      <c r="H53" s="56"/>
      <c r="I53" s="57"/>
      <c r="J53" s="54"/>
      <c r="K53" s="54"/>
      <c r="L53" s="19"/>
      <c r="M53" s="19"/>
      <c r="N53" s="19"/>
      <c r="O53" s="19"/>
      <c r="P53" s="19"/>
      <c r="Q53" s="19"/>
      <c r="R53" s="19"/>
      <c r="S53" s="19"/>
      <c r="T53" s="19"/>
      <c r="U53" s="19"/>
    </row>
    <row r="54" spans="1:21" ht="28.5" customHeight="1" x14ac:dyDescent="0.45">
      <c r="A54" s="58" t="str">
        <f>$A$4</f>
        <v>Tema</v>
      </c>
      <c r="B54" s="58" t="s">
        <v>179</v>
      </c>
      <c r="C54" s="58" t="str">
        <f t="shared" ref="C54:I54" si="0">C4</f>
        <v>Emne</v>
      </c>
      <c r="D54" s="58" t="str">
        <f t="shared" si="0"/>
        <v>DGNB kriterium</v>
      </c>
      <c r="E54" s="58" t="str">
        <f t="shared" si="0"/>
        <v>Byggeudvalg eller Hovedbestyrelse</v>
      </c>
      <c r="F54" s="58" t="str">
        <f t="shared" si="0"/>
        <v>Projektleder</v>
      </c>
      <c r="G54" s="58" t="str">
        <f t="shared" si="0"/>
        <v>#REFERENCE!</v>
      </c>
      <c r="H54" s="58" t="str">
        <f t="shared" si="0"/>
        <v>Ikon</v>
      </c>
      <c r="I54" s="58" t="str">
        <f t="shared" si="0"/>
        <v>Spørgsmål</v>
      </c>
      <c r="J54" s="59" t="str">
        <f>$J$4</f>
        <v>Svar</v>
      </c>
      <c r="K54" s="59" t="str">
        <f>K4</f>
        <v>Uddybende kommentarer</v>
      </c>
      <c r="L54" s="19"/>
      <c r="M54" s="19"/>
      <c r="N54" s="19"/>
      <c r="O54" s="19"/>
      <c r="P54" s="19"/>
      <c r="Q54" s="19"/>
      <c r="R54" s="19"/>
      <c r="S54" s="19"/>
      <c r="T54" s="19"/>
      <c r="U54" s="19"/>
    </row>
    <row r="55" spans="1:21" ht="28.5" customHeight="1" x14ac:dyDescent="0.45">
      <c r="A55" s="56" t="str">
        <f>Arbejdsark!$A$167</f>
        <v>Indeklima</v>
      </c>
      <c r="B55" s="56">
        <v>1</v>
      </c>
      <c r="C55" s="56"/>
      <c r="D55" s="56"/>
      <c r="E55" s="56"/>
      <c r="F55" s="56"/>
      <c r="G55" s="56"/>
      <c r="H55" s="56"/>
      <c r="I55" s="57" t="str">
        <f>IF('Sortering af spørgsmål'!$C$15=Projektforudsætninger!$C$19,"Udfyld spørgsmål","Ingen spørgsmål")</f>
        <v>Ingen spørgsmål</v>
      </c>
      <c r="J55" s="54"/>
      <c r="K55" s="54"/>
      <c r="L55" s="19"/>
      <c r="M55" s="19"/>
      <c r="N55" s="19"/>
      <c r="O55" s="19"/>
      <c r="P55" s="19"/>
      <c r="Q55" s="19"/>
      <c r="R55" s="19"/>
      <c r="S55" s="19"/>
      <c r="T55" s="19"/>
      <c r="U55" s="19"/>
    </row>
    <row r="56" spans="1:21" ht="170.25" customHeight="1" x14ac:dyDescent="0.45">
      <c r="A56" s="45" t="str">
        <f>Arbejdsark!$A$167</f>
        <v>Indeklima</v>
      </c>
      <c r="B56" s="43" t="str">
        <f>Arbejdsark!$B$167</f>
        <v>1.1</v>
      </c>
      <c r="C56" s="45" t="str">
        <f>IF('Sortering af spørgsmål'!$C$15=Projektforudsætninger!$C$19,Arbejdsark!C167,"")</f>
        <v/>
      </c>
      <c r="D56" s="46">
        <f>Arbejdsark!D57</f>
        <v>0</v>
      </c>
      <c r="E56" s="45">
        <f>Arbejdsark!I57</f>
        <v>0</v>
      </c>
      <c r="F56" s="45">
        <f>Arbejdsark!J57</f>
        <v>0</v>
      </c>
      <c r="G56" s="45" t="e">
        <f>Arbejdsark!#REF!</f>
        <v>#REF!</v>
      </c>
      <c r="H56" s="45" t="e">
        <f>Arbejdsark!#REF!</f>
        <v>#REF!</v>
      </c>
      <c r="I56" s="45" t="str">
        <f>IF('Sortering af spørgsmål'!$C$15=Projektforudsætninger!$C$19,Arbejdsark!K167,"")</f>
        <v/>
      </c>
      <c r="J56" s="41" t="s">
        <v>9</v>
      </c>
      <c r="K56" s="41"/>
      <c r="L56" s="19"/>
      <c r="M56" s="19"/>
      <c r="N56" s="19"/>
      <c r="O56" s="19"/>
      <c r="P56" s="19"/>
      <c r="Q56" s="19"/>
      <c r="R56" s="19"/>
      <c r="S56" s="19"/>
      <c r="T56" s="19"/>
      <c r="U56" s="19"/>
    </row>
    <row r="57" spans="1:21" ht="113.65" customHeight="1" x14ac:dyDescent="0.45">
      <c r="A57" s="45" t="str">
        <f>Arbejdsark!$A$167</f>
        <v>Indeklima</v>
      </c>
      <c r="B57" s="43" t="str">
        <f>Arbejdsark!$B$172</f>
        <v>1.2</v>
      </c>
      <c r="C57" s="45" t="str">
        <f>IF('Sortering af spørgsmål'!$C$15=Projektforudsætninger!$C$19,Arbejdsark!C172,"")</f>
        <v/>
      </c>
      <c r="D57" s="46" t="str">
        <f>Arbejdsark!D58</f>
        <v>Vægtning: SOC1.6 pkt. 2.4</v>
      </c>
      <c r="E57" s="45" t="str">
        <f>Arbejdsark!I58</f>
        <v>x</v>
      </c>
      <c r="F57" s="45">
        <f>Arbejdsark!J58</f>
        <v>0</v>
      </c>
      <c r="G57" s="45" t="e">
        <f>Arbejdsark!#REF!</f>
        <v>#REF!</v>
      </c>
      <c r="H57" s="45" t="e">
        <f>Arbejdsark!#REF!</f>
        <v>#REF!</v>
      </c>
      <c r="I57" s="45" t="str">
        <f>IF('Sortering af spørgsmål'!$C$15=Projektforudsætninger!$C$19,Arbejdsark!K172,"")</f>
        <v/>
      </c>
      <c r="J57" s="41" t="s">
        <v>9</v>
      </c>
      <c r="K57" s="41"/>
      <c r="L57" s="19"/>
      <c r="M57" s="19"/>
      <c r="N57" s="19"/>
      <c r="O57" s="19"/>
      <c r="P57" s="19"/>
      <c r="Q57" s="19"/>
      <c r="R57" s="19"/>
      <c r="S57" s="19"/>
      <c r="T57" s="19"/>
      <c r="U57" s="19"/>
    </row>
    <row r="58" spans="1:21" ht="113.65" customHeight="1" x14ac:dyDescent="0.45">
      <c r="A58" s="45" t="str">
        <f>Arbejdsark!$A$167</f>
        <v>Indeklima</v>
      </c>
      <c r="B58" s="43" t="str">
        <f>Arbejdsark!$B$177</f>
        <v>1.3</v>
      </c>
      <c r="C58" s="45" t="str">
        <f>IF('Sortering af spørgsmål'!$C$15=Projektforudsætninger!$C$19,Arbejdsark!C177,"")</f>
        <v/>
      </c>
      <c r="D58" s="46">
        <f>Arbejdsark!D59</f>
        <v>0</v>
      </c>
      <c r="E58" s="45">
        <f>Arbejdsark!I59</f>
        <v>0</v>
      </c>
      <c r="F58" s="45">
        <f>Arbejdsark!J59</f>
        <v>0</v>
      </c>
      <c r="G58" s="45" t="e">
        <f>Arbejdsark!#REF!</f>
        <v>#REF!</v>
      </c>
      <c r="H58" s="45" t="e">
        <f>Arbejdsark!#REF!</f>
        <v>#REF!</v>
      </c>
      <c r="I58" s="45" t="str">
        <f>IF('Sortering af spørgsmål'!$C$15=Projektforudsætninger!$C$19,Arbejdsark!K177,"")</f>
        <v/>
      </c>
      <c r="J58" s="41" t="s">
        <v>9</v>
      </c>
      <c r="K58" s="41"/>
      <c r="L58" s="19"/>
      <c r="M58" s="19"/>
      <c r="N58" s="19"/>
      <c r="O58" s="19"/>
      <c r="P58" s="19"/>
      <c r="Q58" s="19"/>
      <c r="R58" s="19"/>
      <c r="S58" s="19"/>
      <c r="T58" s="19"/>
      <c r="U58" s="19"/>
    </row>
    <row r="59" spans="1:21" ht="170.25" customHeight="1" x14ac:dyDescent="0.45">
      <c r="A59" s="45" t="str">
        <f>Arbejdsark!$A$167</f>
        <v>Indeklima</v>
      </c>
      <c r="B59" s="43" t="str">
        <f>Arbejdsark!$B$182</f>
        <v>1.4</v>
      </c>
      <c r="C59" s="45" t="str">
        <f>IF('Sortering af spørgsmål'!$C$15=Projektforudsætninger!$C$19,Arbejdsark!C182,"")</f>
        <v/>
      </c>
      <c r="D59" s="46" t="str">
        <f>Arbejdsark!D58</f>
        <v>Vægtning: SOC1.6 pkt. 2.4</v>
      </c>
      <c r="E59" s="45" t="str">
        <f>Arbejdsark!I58</f>
        <v>x</v>
      </c>
      <c r="F59" s="45">
        <f>Arbejdsark!J58</f>
        <v>0</v>
      </c>
      <c r="G59" s="45" t="e">
        <f>Arbejdsark!#REF!</f>
        <v>#REF!</v>
      </c>
      <c r="H59" s="45" t="e">
        <f>Arbejdsark!#REF!</f>
        <v>#REF!</v>
      </c>
      <c r="I59" s="45" t="str">
        <f>IF('Sortering af spørgsmål'!$C$15=Projektforudsætninger!$C$19,Arbejdsark!K182,"")</f>
        <v/>
      </c>
      <c r="J59" s="41" t="s">
        <v>9</v>
      </c>
      <c r="K59" s="41"/>
      <c r="L59" s="19"/>
      <c r="M59" s="19"/>
      <c r="N59" s="19"/>
      <c r="O59" s="19"/>
      <c r="P59" s="19"/>
      <c r="Q59" s="19"/>
      <c r="R59" s="19"/>
      <c r="S59" s="19"/>
      <c r="T59" s="19"/>
      <c r="U59" s="19"/>
    </row>
    <row r="60" spans="1:21" ht="183" customHeight="1" x14ac:dyDescent="0.45">
      <c r="A60" s="45" t="str">
        <f>Arbejdsark!$A$167</f>
        <v>Indeklima</v>
      </c>
      <c r="B60" s="43" t="str">
        <f>Arbejdsark!$B$187</f>
        <v>1.5</v>
      </c>
      <c r="C60" s="45" t="str">
        <f>IF('Sortering af spørgsmål'!$C$15=Projektforudsætninger!$C$19,Arbejdsark!C187,"")</f>
        <v/>
      </c>
      <c r="D60" s="46">
        <f>Arbejdsark!D59</f>
        <v>0</v>
      </c>
      <c r="E60" s="45">
        <f>Arbejdsark!I59</f>
        <v>0</v>
      </c>
      <c r="F60" s="45">
        <f>Arbejdsark!J59</f>
        <v>0</v>
      </c>
      <c r="G60" s="45" t="e">
        <f>Arbejdsark!#REF!</f>
        <v>#REF!</v>
      </c>
      <c r="H60" s="45" t="e">
        <f>Arbejdsark!#REF!</f>
        <v>#REF!</v>
      </c>
      <c r="I60" s="45" t="str">
        <f>IF('Sortering af spørgsmål'!$C$15=Projektforudsætninger!$C$19,Arbejdsark!K187,"")</f>
        <v/>
      </c>
      <c r="J60" s="41" t="s">
        <v>9</v>
      </c>
      <c r="K60" s="41"/>
      <c r="L60" s="19"/>
      <c r="M60" s="19"/>
      <c r="N60" s="19"/>
      <c r="O60" s="19"/>
      <c r="P60" s="19"/>
      <c r="Q60" s="19"/>
      <c r="R60" s="19"/>
      <c r="S60" s="19"/>
      <c r="T60" s="19"/>
      <c r="U60" s="19"/>
    </row>
    <row r="61" spans="1:21" ht="85.15" customHeight="1" x14ac:dyDescent="0.45">
      <c r="A61" s="45" t="str">
        <f>Arbejdsark!$A$167</f>
        <v>Indeklima</v>
      </c>
      <c r="B61" s="43" t="str">
        <f>Arbejdsark!$B$192</f>
        <v>1.6</v>
      </c>
      <c r="C61" s="45" t="str">
        <f>IF('Sortering af spørgsmål'!$C$15=Projektforudsætninger!$C$19,Arbejdsark!C192,"")</f>
        <v/>
      </c>
      <c r="D61" s="46"/>
      <c r="E61" s="45"/>
      <c r="F61" s="45"/>
      <c r="G61" s="45"/>
      <c r="H61" s="45"/>
      <c r="I61" s="45" t="str">
        <f>IF('Sortering af spørgsmål'!$C$15=Projektforudsætninger!$C$19,Arbejdsark!K192,"")</f>
        <v/>
      </c>
      <c r="J61" s="41" t="s">
        <v>9</v>
      </c>
      <c r="K61" s="41"/>
      <c r="L61" s="19"/>
      <c r="M61" s="19"/>
      <c r="N61" s="19"/>
      <c r="O61" s="19"/>
      <c r="P61" s="19"/>
      <c r="Q61" s="19"/>
      <c r="R61" s="19"/>
      <c r="S61" s="19"/>
      <c r="T61" s="19"/>
      <c r="U61" s="19"/>
    </row>
    <row r="62" spans="1:21" ht="141.75" customHeight="1" x14ac:dyDescent="0.45">
      <c r="A62" s="45" t="str">
        <f>Arbejdsark!$A$167</f>
        <v>Indeklima</v>
      </c>
      <c r="B62" s="43" t="str">
        <f>Arbejdsark!$B$197</f>
        <v>1.7</v>
      </c>
      <c r="C62" s="45" t="str">
        <f>IF('Sortering af spørgsmål'!$C$15=Projektforudsætninger!$C$19,Arbejdsark!C197,"")</f>
        <v/>
      </c>
      <c r="D62" s="46">
        <f>Arbejdsark!D60</f>
        <v>0</v>
      </c>
      <c r="E62" s="45">
        <f>Arbejdsark!I60</f>
        <v>0</v>
      </c>
      <c r="F62" s="45">
        <f>Arbejdsark!J60</f>
        <v>0</v>
      </c>
      <c r="G62" s="45" t="e">
        <f>Arbejdsark!#REF!</f>
        <v>#REF!</v>
      </c>
      <c r="H62" s="45" t="e">
        <f>Arbejdsark!#REF!</f>
        <v>#REF!</v>
      </c>
      <c r="I62" s="45" t="str">
        <f>IF('Sortering af spørgsmål'!$C$15=Projektforudsætninger!$C$19,Arbejdsark!K197,"")</f>
        <v/>
      </c>
      <c r="J62" s="41" t="s">
        <v>9</v>
      </c>
      <c r="K62" s="41"/>
      <c r="L62" s="19"/>
      <c r="M62" s="19"/>
      <c r="N62" s="19"/>
      <c r="O62" s="19"/>
      <c r="P62" s="19"/>
      <c r="Q62" s="19"/>
      <c r="R62" s="19"/>
      <c r="S62" s="19"/>
      <c r="T62" s="19"/>
      <c r="U62" s="19"/>
    </row>
    <row r="63" spans="1:21" ht="141.75" customHeight="1" x14ac:dyDescent="0.45">
      <c r="A63" s="45" t="str">
        <f>Arbejdsark!$A$167</f>
        <v>Indeklima</v>
      </c>
      <c r="B63" s="43" t="str">
        <f>Arbejdsark!$B$202</f>
        <v>1.8</v>
      </c>
      <c r="C63" s="45" t="str">
        <f>IF('Sortering af spørgsmål'!$C$15=Projektforudsætninger!$C$19,Arbejdsark!C202,"")</f>
        <v/>
      </c>
      <c r="D63" s="46">
        <f>Arbejdsark!D61</f>
        <v>0</v>
      </c>
      <c r="E63" s="45">
        <f>Arbejdsark!I61</f>
        <v>0</v>
      </c>
      <c r="F63" s="45">
        <f>Arbejdsark!J61</f>
        <v>0</v>
      </c>
      <c r="G63" s="45" t="e">
        <f>Arbejdsark!#REF!</f>
        <v>#REF!</v>
      </c>
      <c r="H63" s="45" t="e">
        <f>Arbejdsark!#REF!</f>
        <v>#REF!</v>
      </c>
      <c r="I63" s="45" t="str">
        <f>IF('Sortering af spørgsmål'!$C$15=Projektforudsætninger!$C$19,Arbejdsark!K202,"")</f>
        <v/>
      </c>
      <c r="J63" s="41" t="s">
        <v>9</v>
      </c>
      <c r="K63" s="41"/>
      <c r="L63" s="19"/>
      <c r="M63" s="19"/>
      <c r="N63" s="19"/>
      <c r="O63" s="19"/>
      <c r="P63" s="19"/>
      <c r="Q63" s="19"/>
      <c r="R63" s="19"/>
      <c r="S63" s="19"/>
      <c r="T63" s="19"/>
      <c r="U63" s="19"/>
    </row>
    <row r="64" spans="1:21" ht="85.15" customHeight="1" x14ac:dyDescent="0.45">
      <c r="A64" s="45" t="str">
        <f>Arbejdsark!$A$167</f>
        <v>Indeklima</v>
      </c>
      <c r="B64" s="43" t="str">
        <f>Arbejdsark!$B$207</f>
        <v>1.9</v>
      </c>
      <c r="C64" s="45" t="str">
        <f>IF('Sortering af spørgsmål'!$C$15=Projektforudsætninger!$C$19,Arbejdsark!C207,"")</f>
        <v/>
      </c>
      <c r="D64" s="46">
        <f>Arbejdsark!D62</f>
        <v>0</v>
      </c>
      <c r="E64" s="45">
        <f>Arbejdsark!I62</f>
        <v>0</v>
      </c>
      <c r="F64" s="45">
        <f>Arbejdsark!J62</f>
        <v>0</v>
      </c>
      <c r="G64" s="45" t="e">
        <f>Arbejdsark!#REF!</f>
        <v>#REF!</v>
      </c>
      <c r="H64" s="45" t="e">
        <f>Arbejdsark!#REF!</f>
        <v>#REF!</v>
      </c>
      <c r="I64" s="45" t="str">
        <f>IF('Sortering af spørgsmål'!$C$15=Projektforudsætninger!$C$19,Arbejdsark!K207,"")</f>
        <v/>
      </c>
      <c r="J64" s="41" t="s">
        <v>9</v>
      </c>
      <c r="K64" s="41"/>
      <c r="L64" s="19"/>
      <c r="M64" s="19"/>
      <c r="N64" s="19"/>
      <c r="O64" s="19"/>
      <c r="P64" s="19"/>
      <c r="Q64" s="19"/>
      <c r="R64" s="19"/>
      <c r="S64" s="19"/>
      <c r="T64" s="19"/>
      <c r="U64" s="19"/>
    </row>
    <row r="65" spans="1:21" ht="127.5" customHeight="1" x14ac:dyDescent="0.45">
      <c r="A65" s="45" t="str">
        <f>Arbejdsark!$A$167</f>
        <v>Indeklima</v>
      </c>
      <c r="B65" s="43" t="str">
        <f>Arbejdsark!$B$212</f>
        <v>1.10</v>
      </c>
      <c r="C65" s="45" t="str">
        <f>IF('Sortering af spørgsmål'!$C$15=Projektforudsætninger!$C$19,Arbejdsark!C212,"")</f>
        <v/>
      </c>
      <c r="D65" s="46" t="str">
        <f>Arbejdsark!D63</f>
        <v>SOC1.6
Vægtning: 20% af SOC1.6 pkt 2.8</v>
      </c>
      <c r="E65" s="45" t="str">
        <f>Arbejdsark!I63</f>
        <v>x</v>
      </c>
      <c r="F65" s="45">
        <f>Arbejdsark!J63</f>
        <v>0</v>
      </c>
      <c r="G65" s="45" t="e">
        <f>Arbejdsark!#REF!</f>
        <v>#REF!</v>
      </c>
      <c r="H65" s="45" t="e">
        <f>Arbejdsark!#REF!</f>
        <v>#REF!</v>
      </c>
      <c r="I65" s="45" t="str">
        <f>IF('Sortering af spørgsmål'!$C$15=Projektforudsætninger!$C$19,Arbejdsark!K212,"")</f>
        <v/>
      </c>
      <c r="J65" s="41" t="s">
        <v>9</v>
      </c>
      <c r="K65" s="41"/>
      <c r="L65" s="19"/>
      <c r="M65" s="19"/>
      <c r="N65" s="19"/>
      <c r="O65" s="19"/>
      <c r="P65" s="19"/>
      <c r="Q65" s="19"/>
      <c r="R65" s="19"/>
      <c r="S65" s="19"/>
      <c r="T65" s="19"/>
      <c r="U65" s="19"/>
    </row>
    <row r="66" spans="1:21" x14ac:dyDescent="0.45">
      <c r="A66" s="45"/>
      <c r="B66" s="45"/>
      <c r="C66" s="45"/>
      <c r="D66" s="46"/>
      <c r="E66" s="45"/>
      <c r="F66" s="45"/>
      <c r="G66" s="45"/>
      <c r="H66" s="45"/>
      <c r="I66" s="45"/>
      <c r="J66" s="47"/>
      <c r="K66" s="47"/>
      <c r="L66" s="19"/>
      <c r="M66" s="19"/>
      <c r="N66" s="19"/>
      <c r="O66" s="19"/>
      <c r="P66" s="19"/>
      <c r="Q66" s="19"/>
      <c r="R66" s="19"/>
      <c r="S66" s="19"/>
      <c r="T66" s="19"/>
      <c r="U66" s="19"/>
    </row>
    <row r="67" spans="1:21" ht="28.5" customHeight="1" x14ac:dyDescent="0.45">
      <c r="A67" s="56" t="str">
        <f>Arbejdsark!$A$217</f>
        <v>Brugerstyring</v>
      </c>
      <c r="B67" s="57">
        <v>2</v>
      </c>
      <c r="C67" s="56"/>
      <c r="D67" s="56"/>
      <c r="E67" s="56"/>
      <c r="F67" s="56"/>
      <c r="G67" s="56"/>
      <c r="H67" s="56"/>
      <c r="I67" s="57" t="str">
        <f>IF('Sortering af spørgsmål'!$C$16=Projektforudsætninger!$C$19,"Udfyld spørgsmål","Ingen spørgsmål")</f>
        <v>Ingen spørgsmål</v>
      </c>
      <c r="J67" s="54"/>
      <c r="K67" s="54"/>
      <c r="L67" s="19"/>
      <c r="M67" s="19"/>
      <c r="N67" s="19"/>
      <c r="O67" s="19"/>
      <c r="P67" s="19"/>
      <c r="Q67" s="19"/>
      <c r="R67" s="19"/>
      <c r="S67" s="19"/>
      <c r="T67" s="19"/>
      <c r="U67" s="19"/>
    </row>
    <row r="68" spans="1:21" ht="85.15" customHeight="1" x14ac:dyDescent="0.45">
      <c r="A68" s="45" t="str">
        <f>Arbejdsark!$A$217</f>
        <v>Brugerstyring</v>
      </c>
      <c r="B68" s="43" t="str">
        <f>Arbejdsark!$B$217</f>
        <v>2.1</v>
      </c>
      <c r="C68" s="45" t="str">
        <f>IF('Sortering af spørgsmål'!$C$16=Projektforudsætninger!$C$19,Arbejdsark!C217,"")</f>
        <v/>
      </c>
      <c r="D68" s="46">
        <f>Arbejdsark!D62</f>
        <v>0</v>
      </c>
      <c r="E68" s="45">
        <f>Arbejdsark!I62</f>
        <v>0</v>
      </c>
      <c r="F68" s="45">
        <f>Arbejdsark!J62</f>
        <v>0</v>
      </c>
      <c r="G68" s="45" t="e">
        <f>Arbejdsark!#REF!</f>
        <v>#REF!</v>
      </c>
      <c r="H68" s="45" t="e">
        <f>Arbejdsark!#REF!</f>
        <v>#REF!</v>
      </c>
      <c r="I68" s="45" t="str">
        <f>IF('Sortering af spørgsmål'!$C$16=Projektforudsætninger!$C$19,Arbejdsark!K217,"")</f>
        <v/>
      </c>
      <c r="J68" s="41" t="s">
        <v>9</v>
      </c>
      <c r="K68" s="41"/>
      <c r="L68" s="19"/>
      <c r="M68" s="19"/>
      <c r="N68" s="19"/>
      <c r="O68" s="19"/>
      <c r="P68" s="19"/>
      <c r="Q68" s="19"/>
      <c r="R68" s="19"/>
      <c r="S68" s="19"/>
      <c r="T68" s="19"/>
      <c r="U68" s="19"/>
    </row>
    <row r="69" spans="1:21" ht="85.15" customHeight="1" x14ac:dyDescent="0.45">
      <c r="A69" s="45" t="str">
        <f>Arbejdsark!$A$217</f>
        <v>Brugerstyring</v>
      </c>
      <c r="B69" s="43" t="str">
        <f>Arbejdsark!$B$222</f>
        <v>2.2</v>
      </c>
      <c r="C69" s="45" t="str">
        <f>IF('Sortering af spørgsmål'!$C$16=Projektforudsætninger!$C$19,Arbejdsark!C222,"")</f>
        <v/>
      </c>
      <c r="D69" s="46" t="str">
        <f>Arbejdsark!D63</f>
        <v>SOC1.6
Vægtning: 20% af SOC1.6 pkt 2.8</v>
      </c>
      <c r="E69" s="45" t="str">
        <f>Arbejdsark!I63</f>
        <v>x</v>
      </c>
      <c r="F69" s="45">
        <f>Arbejdsark!J63</f>
        <v>0</v>
      </c>
      <c r="G69" s="45" t="e">
        <f>Arbejdsark!#REF!</f>
        <v>#REF!</v>
      </c>
      <c r="H69" s="45" t="e">
        <f>Arbejdsark!#REF!</f>
        <v>#REF!</v>
      </c>
      <c r="I69" s="45" t="str">
        <f>IF('Sortering af spørgsmål'!$C$16=Projektforudsætninger!$C$19,Arbejdsark!K222,"")</f>
        <v/>
      </c>
      <c r="J69" s="41" t="s">
        <v>9</v>
      </c>
      <c r="K69" s="41"/>
      <c r="L69" s="19"/>
      <c r="M69" s="19"/>
      <c r="N69" s="19"/>
      <c r="O69" s="19"/>
      <c r="P69" s="19"/>
      <c r="Q69" s="19"/>
      <c r="R69" s="19"/>
      <c r="S69" s="19"/>
      <c r="T69" s="19"/>
      <c r="U69" s="19"/>
    </row>
    <row r="70" spans="1:21" ht="85.15" customHeight="1" x14ac:dyDescent="0.45">
      <c r="A70" s="45" t="str">
        <f>Arbejdsark!$A$217</f>
        <v>Brugerstyring</v>
      </c>
      <c r="B70" s="43" t="str">
        <f>Arbejdsark!$B$227</f>
        <v>2.3</v>
      </c>
      <c r="C70" s="45" t="str">
        <f>IF('Sortering af spørgsmål'!$C$16=Projektforudsætninger!$C$19,Arbejdsark!C227,"")</f>
        <v/>
      </c>
      <c r="D70" s="46">
        <f>Arbejdsark!D64</f>
        <v>0</v>
      </c>
      <c r="E70" s="45">
        <f>Arbejdsark!I64</f>
        <v>0</v>
      </c>
      <c r="F70" s="45">
        <f>Arbejdsark!J64</f>
        <v>0</v>
      </c>
      <c r="G70" s="45" t="e">
        <f>Arbejdsark!#REF!</f>
        <v>#REF!</v>
      </c>
      <c r="H70" s="45" t="e">
        <f>Arbejdsark!#REF!</f>
        <v>#REF!</v>
      </c>
      <c r="I70" s="45" t="str">
        <f>IF('Sortering af spørgsmål'!$C$16=Projektforudsætninger!$C$19,Arbejdsark!K227,"")</f>
        <v/>
      </c>
      <c r="J70" s="41" t="s">
        <v>9</v>
      </c>
      <c r="K70" s="41"/>
      <c r="L70" s="19"/>
      <c r="M70" s="19"/>
      <c r="N70" s="19"/>
      <c r="O70" s="19"/>
      <c r="P70" s="19"/>
      <c r="Q70" s="19"/>
      <c r="R70" s="19"/>
      <c r="S70" s="19"/>
      <c r="T70" s="19"/>
      <c r="U70" s="19"/>
    </row>
    <row r="71" spans="1:21" x14ac:dyDescent="0.45">
      <c r="A71" s="45"/>
      <c r="B71" s="45"/>
      <c r="C71" s="45"/>
      <c r="D71" s="46"/>
      <c r="E71" s="45"/>
      <c r="F71" s="45"/>
      <c r="G71" s="45"/>
      <c r="H71" s="45"/>
      <c r="I71" s="45"/>
      <c r="J71" s="47"/>
      <c r="K71" s="47"/>
      <c r="L71" s="19"/>
      <c r="M71" s="19"/>
      <c r="N71" s="19"/>
      <c r="O71" s="19"/>
      <c r="P71" s="19"/>
      <c r="Q71" s="19"/>
      <c r="R71" s="19"/>
      <c r="S71" s="19"/>
      <c r="T71" s="19"/>
      <c r="U71" s="19"/>
    </row>
    <row r="72" spans="1:21" ht="28.5" customHeight="1" x14ac:dyDescent="0.45">
      <c r="A72" s="56" t="str">
        <f>Arbejdsark!$A$234</f>
        <v>Tilgængelighed</v>
      </c>
      <c r="B72" s="57">
        <v>3</v>
      </c>
      <c r="C72" s="56"/>
      <c r="D72" s="56"/>
      <c r="E72" s="56"/>
      <c r="F72" s="56"/>
      <c r="G72" s="56"/>
      <c r="H72" s="56"/>
      <c r="I72" s="57" t="str">
        <f>IF('Sortering af spørgsmål'!$C$17=Projektforudsætninger!$C$19,"Udfyld spørgsmål","Ingen spørgsmål")</f>
        <v>Ingen spørgsmål</v>
      </c>
      <c r="J72" s="54"/>
      <c r="K72" s="54"/>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spørgsmål'!$C$17=Projektforudsætninger!$C$19,Arbejdsark!C234,"")</f>
        <v/>
      </c>
      <c r="D73" s="46">
        <f>Arbejdsark!D67</f>
        <v>0</v>
      </c>
      <c r="E73" s="45">
        <f>Arbejdsark!I67</f>
        <v>0</v>
      </c>
      <c r="F73" s="45">
        <f>Arbejdsark!J67</f>
        <v>0</v>
      </c>
      <c r="G73" s="45" t="e">
        <f>Arbejdsark!#REF!</f>
        <v>#REF!</v>
      </c>
      <c r="H73" s="45" t="e">
        <f>Arbejdsark!#REF!</f>
        <v>#REF!</v>
      </c>
      <c r="I73" s="45" t="str">
        <f>IF('Sortering af spørgsmål'!$C$17=Projektforudsætninger!$C$19,Arbejdsark!K234,"")</f>
        <v/>
      </c>
      <c r="J73" s="41" t="s">
        <v>9</v>
      </c>
      <c r="K73" s="41"/>
      <c r="L73" s="19"/>
      <c r="M73" s="19"/>
      <c r="N73" s="19"/>
      <c r="O73" s="19"/>
      <c r="P73" s="19"/>
      <c r="Q73" s="19"/>
      <c r="R73" s="19"/>
      <c r="S73" s="19"/>
      <c r="T73" s="19"/>
      <c r="U73" s="19"/>
    </row>
    <row r="74" spans="1:21" ht="170.25" customHeight="1" x14ac:dyDescent="0.45">
      <c r="A74" s="45" t="str">
        <f>Arbejdsark!$A$234</f>
        <v>Tilgængelighed</v>
      </c>
      <c r="B74" s="43" t="e">
        <f>Arbejdsark!#REF!</f>
        <v>#REF!</v>
      </c>
      <c r="C74" s="45" t="str">
        <f>IF('Sortering af spørgsmål'!$C$17=Projektforudsætninger!$C$19,Arbejdsark!#REF!,"")</f>
        <v/>
      </c>
      <c r="D74" s="46">
        <f>Arbejdsark!D74</f>
        <v>0</v>
      </c>
      <c r="E74" s="45">
        <f>Arbejdsark!I74</f>
        <v>0</v>
      </c>
      <c r="F74" s="45">
        <f>Arbejdsark!J74</f>
        <v>0</v>
      </c>
      <c r="G74" s="45" t="e">
        <f>Arbejdsark!#REF!</f>
        <v>#REF!</v>
      </c>
      <c r="H74" s="45" t="e">
        <f>Arbejdsark!#REF!</f>
        <v>#REF!</v>
      </c>
      <c r="I74" s="45" t="str">
        <f>IF('Sortering af spørgsmål'!$C$17=Projektforudsætninger!$C$19,Arbejdsark!#REF!,"")</f>
        <v/>
      </c>
      <c r="J74" s="41" t="s">
        <v>9</v>
      </c>
      <c r="K74" s="41"/>
      <c r="L74" s="19"/>
      <c r="M74" s="19"/>
      <c r="N74" s="19"/>
      <c r="O74" s="19"/>
      <c r="P74" s="19"/>
      <c r="Q74" s="19"/>
      <c r="R74" s="19"/>
      <c r="S74" s="19"/>
      <c r="T74" s="19"/>
      <c r="U74" s="19"/>
    </row>
    <row r="75" spans="1:21" x14ac:dyDescent="0.45">
      <c r="A75" s="45"/>
      <c r="B75" s="45"/>
      <c r="C75" s="45"/>
      <c r="D75" s="46"/>
      <c r="E75" s="45"/>
      <c r="F75" s="45"/>
      <c r="G75" s="45"/>
      <c r="H75" s="45"/>
      <c r="I75" s="45"/>
      <c r="J75" s="47"/>
      <c r="K75" s="47"/>
      <c r="L75" s="19"/>
      <c r="M75" s="19"/>
      <c r="N75" s="19"/>
      <c r="O75" s="19"/>
      <c r="P75" s="19"/>
      <c r="Q75" s="19"/>
      <c r="R75" s="19"/>
      <c r="S75" s="19"/>
      <c r="T75" s="19"/>
      <c r="U75" s="19"/>
    </row>
    <row r="76" spans="1:21" ht="28.5" customHeight="1" x14ac:dyDescent="0.45">
      <c r="A76" s="56" t="str">
        <f>Arbejdsark!$A$239</f>
        <v>Udearealer</v>
      </c>
      <c r="B76" s="57">
        <v>4</v>
      </c>
      <c r="C76" s="56"/>
      <c r="D76" s="56"/>
      <c r="E76" s="56"/>
      <c r="F76" s="56"/>
      <c r="G76" s="56"/>
      <c r="H76" s="56"/>
      <c r="I76" s="57" t="str">
        <f>IF('Sortering af spørgsmål'!$C$18=Projektforudsætninger!$C$19,"Udfyld spørgsmål","Ingen spørgsmål")</f>
        <v>Ingen spørgsmål</v>
      </c>
      <c r="J76" s="54"/>
      <c r="K76" s="54"/>
      <c r="L76" s="19"/>
      <c r="M76" s="19"/>
      <c r="N76" s="19"/>
      <c r="O76" s="19"/>
      <c r="P76" s="19"/>
      <c r="Q76" s="19"/>
      <c r="R76" s="19"/>
      <c r="S76" s="19"/>
      <c r="T76" s="19"/>
      <c r="U76" s="19"/>
    </row>
    <row r="77" spans="1:21" s="33" customFormat="1" ht="113.65" customHeight="1" x14ac:dyDescent="0.45">
      <c r="A77" s="45" t="str">
        <f>Arbejdsark!$A$239</f>
        <v>Udearealer</v>
      </c>
      <c r="B77" s="43" t="str">
        <f>Arbejdsark!$B$239</f>
        <v>4.1</v>
      </c>
      <c r="C77" s="45" t="str">
        <f>IF('Sortering af spørgsmål'!$C$18=Projektforudsætninger!$C$19,Arbejdsark!C239,"")</f>
        <v/>
      </c>
      <c r="D77" s="46">
        <f>Arbejdsark!D77</f>
        <v>0</v>
      </c>
      <c r="E77" s="45">
        <f>Arbejdsark!I77</f>
        <v>0</v>
      </c>
      <c r="F77" s="45">
        <f>Arbejdsark!J77</f>
        <v>0</v>
      </c>
      <c r="G77" s="45" t="e">
        <f>Arbejdsark!#REF!</f>
        <v>#REF!</v>
      </c>
      <c r="H77" s="45" t="e">
        <f>Arbejdsark!#REF!</f>
        <v>#REF!</v>
      </c>
      <c r="I77" s="45" t="str">
        <f>IF('Sortering af spørgsmål'!$C$18=Projektforudsætninger!$C$19,Arbejdsark!K239,"")</f>
        <v/>
      </c>
      <c r="J77" s="41" t="s">
        <v>9</v>
      </c>
      <c r="K77" s="41"/>
      <c r="L77" s="27">
        <f t="shared" ref="L77:U77" si="1">L4</f>
        <v>0</v>
      </c>
      <c r="M77" s="27">
        <f t="shared" si="1"/>
        <v>0</v>
      </c>
      <c r="N77" s="27">
        <f t="shared" si="1"/>
        <v>0</v>
      </c>
      <c r="O77" s="27">
        <f t="shared" si="1"/>
        <v>0</v>
      </c>
      <c r="P77" s="27">
        <f t="shared" si="1"/>
        <v>0</v>
      </c>
      <c r="Q77" s="27">
        <f t="shared" si="1"/>
        <v>0</v>
      </c>
      <c r="R77" s="27">
        <f t="shared" si="1"/>
        <v>0</v>
      </c>
      <c r="S77" s="27">
        <f t="shared" si="1"/>
        <v>0</v>
      </c>
      <c r="T77" s="27">
        <f t="shared" si="1"/>
        <v>0</v>
      </c>
      <c r="U77" s="27">
        <f t="shared" si="1"/>
        <v>0</v>
      </c>
    </row>
    <row r="78" spans="1:21" ht="170.25" customHeight="1" x14ac:dyDescent="0.45">
      <c r="A78" s="45" t="str">
        <f>Arbejdsark!$A$239</f>
        <v>Udearealer</v>
      </c>
      <c r="B78" s="43" t="str">
        <f>Arbejdsark!$B$244</f>
        <v>4.2</v>
      </c>
      <c r="C78" s="45" t="str">
        <f>IF('Sortering af spørgsmål'!$C$18=Projektforudsætninger!$C$19,Arbejdsark!C244,"")</f>
        <v/>
      </c>
      <c r="D78" s="46" t="str">
        <f>Arbejdsark!D78</f>
        <v>ENV2.3
Vægtning: ENV2.3 pkt. 2.1 + 2.2+3</v>
      </c>
      <c r="E78" s="45" t="str">
        <f>Arbejdsark!I78</f>
        <v>x</v>
      </c>
      <c r="F78" s="45">
        <f>Arbejdsark!J78</f>
        <v>0</v>
      </c>
      <c r="G78" s="45" t="e">
        <f>Arbejdsark!#REF!</f>
        <v>#REF!</v>
      </c>
      <c r="H78" s="45" t="e">
        <f>Arbejdsark!#REF!</f>
        <v>#REF!</v>
      </c>
      <c r="I78" s="45" t="str">
        <f>IF('Sortering af spørgsmål'!$C$18=Projektforudsætninger!$C$19,Arbejdsark!K244,"")</f>
        <v/>
      </c>
      <c r="J78" s="41" t="s">
        <v>9</v>
      </c>
      <c r="K78" s="41"/>
      <c r="L78" s="19"/>
      <c r="M78" s="19"/>
      <c r="N78" s="19"/>
      <c r="O78" s="19"/>
      <c r="P78" s="19"/>
      <c r="Q78" s="19"/>
      <c r="R78" s="19"/>
      <c r="S78" s="19"/>
      <c r="T78" s="19"/>
      <c r="U78" s="19"/>
    </row>
    <row r="79" spans="1:21" x14ac:dyDescent="0.45">
      <c r="A79" s="45"/>
      <c r="B79" s="45"/>
      <c r="C79" s="45"/>
      <c r="D79" s="46"/>
      <c r="E79" s="45"/>
      <c r="F79" s="45"/>
      <c r="G79" s="45"/>
      <c r="H79" s="45"/>
      <c r="I79" s="45"/>
      <c r="J79" s="47"/>
      <c r="K79" s="47"/>
      <c r="L79" s="19"/>
      <c r="M79" s="19"/>
      <c r="N79" s="19"/>
      <c r="O79" s="19"/>
      <c r="P79" s="19"/>
      <c r="Q79" s="19"/>
      <c r="R79" s="19"/>
      <c r="S79" s="19"/>
      <c r="T79" s="19"/>
      <c r="U79" s="19"/>
    </row>
    <row r="80" spans="1:21" ht="28.5" customHeight="1" x14ac:dyDescent="0.45">
      <c r="A80" s="56" t="str">
        <f>Arbejdsark!$A$250</f>
        <v>Cyklister</v>
      </c>
      <c r="B80" s="57">
        <v>5</v>
      </c>
      <c r="C80" s="56"/>
      <c r="D80" s="56"/>
      <c r="E80" s="56"/>
      <c r="F80" s="56"/>
      <c r="G80" s="56"/>
      <c r="H80" s="56"/>
      <c r="I80" s="57" t="str">
        <f>IF('Sortering af spørgsmål'!$C$19=Projektforudsætninger!$C$19,"Udfyld spørgsmål","Ingen spørgsmål")</f>
        <v>Ingen spørgsmål</v>
      </c>
      <c r="J80" s="54"/>
      <c r="K80" s="54"/>
      <c r="L80" s="19"/>
      <c r="M80" s="19"/>
      <c r="N80" s="19"/>
      <c r="O80" s="19"/>
      <c r="P80" s="19"/>
      <c r="Q80" s="19"/>
      <c r="R80" s="19"/>
      <c r="S80" s="19"/>
      <c r="T80" s="19"/>
      <c r="U80" s="19"/>
    </row>
    <row r="81" spans="1:21" ht="113.65" customHeight="1" x14ac:dyDescent="0.45">
      <c r="A81" s="45" t="str">
        <f>Arbejdsark!$A$250</f>
        <v>Cyklister</v>
      </c>
      <c r="B81" s="43" t="str">
        <f>Arbejdsark!$B$250</f>
        <v>5.1</v>
      </c>
      <c r="C81" s="45" t="str">
        <f>IF('Sortering af spørgsmål'!$C$19=Projektforudsætninger!$C$19,Arbejdsark!C250,"")</f>
        <v/>
      </c>
      <c r="D81" s="46">
        <f>Arbejdsark!D81</f>
        <v>0</v>
      </c>
      <c r="E81" s="45">
        <f>Arbejdsark!I81</f>
        <v>0</v>
      </c>
      <c r="F81" s="45">
        <f>Arbejdsark!J81</f>
        <v>0</v>
      </c>
      <c r="G81" s="45" t="e">
        <f>Arbejdsark!#REF!</f>
        <v>#REF!</v>
      </c>
      <c r="H81" s="45" t="e">
        <f>Arbejdsark!#REF!</f>
        <v>#REF!</v>
      </c>
      <c r="I81" s="45" t="str">
        <f>IF('Sortering af spørgsmål'!$C$19=Projektforudsætninger!$C$19,Arbejdsark!K250,"")</f>
        <v/>
      </c>
      <c r="J81" s="41" t="s">
        <v>9</v>
      </c>
      <c r="K81" s="41"/>
      <c r="L81" s="19"/>
      <c r="M81" s="19"/>
      <c r="N81" s="19"/>
      <c r="O81" s="19"/>
      <c r="P81" s="19"/>
      <c r="Q81" s="19"/>
      <c r="R81" s="19"/>
      <c r="S81" s="19"/>
      <c r="T81" s="19"/>
      <c r="U81" s="19"/>
    </row>
    <row r="82" spans="1:21" ht="141.75" customHeight="1" x14ac:dyDescent="0.45">
      <c r="A82" s="45" t="str">
        <f>Arbejdsark!$A$250</f>
        <v>Cyklister</v>
      </c>
      <c r="B82" s="43" t="str">
        <f>Arbejdsark!$B$255</f>
        <v>5.2</v>
      </c>
      <c r="C82" s="45" t="str">
        <f>IF('Sortering af spørgsmål'!$C$19=Projektforudsætninger!$C$19,Arbejdsark!C255,"")</f>
        <v/>
      </c>
      <c r="D82" s="46">
        <f>Arbejdsark!D82</f>
        <v>0</v>
      </c>
      <c r="E82" s="45">
        <f>Arbejdsark!I82</f>
        <v>0</v>
      </c>
      <c r="F82" s="45">
        <f>Arbejdsark!J82</f>
        <v>0</v>
      </c>
      <c r="G82" s="45" t="e">
        <f>Arbejdsark!#REF!</f>
        <v>#REF!</v>
      </c>
      <c r="H82" s="45" t="e">
        <f>Arbejdsark!#REF!</f>
        <v>#REF!</v>
      </c>
      <c r="I82" s="45" t="str">
        <f>IF('Sortering af spørgsmål'!$C$19=Projektforudsætninger!$C$19,Arbejdsark!K255,"")</f>
        <v/>
      </c>
      <c r="J82" s="41" t="s">
        <v>9</v>
      </c>
      <c r="K82" s="41"/>
      <c r="L82" s="19"/>
      <c r="M82" s="19"/>
      <c r="N82" s="19"/>
      <c r="O82" s="19"/>
      <c r="P82" s="19"/>
      <c r="Q82" s="19"/>
      <c r="R82" s="19"/>
      <c r="S82" s="19"/>
      <c r="T82" s="19"/>
      <c r="U82" s="19"/>
    </row>
    <row r="83" spans="1:21" ht="141.75" customHeight="1" x14ac:dyDescent="0.45">
      <c r="A83" s="45" t="str">
        <f>Arbejdsark!$A$250</f>
        <v>Cyklister</v>
      </c>
      <c r="B83" s="43" t="str">
        <f>Arbejdsark!$B$260</f>
        <v>5.3</v>
      </c>
      <c r="C83" s="45" t="str">
        <f>IF('Sortering af spørgsmål'!$C$19=Projektforudsætninger!$C$19,Arbejdsark!C260,"")</f>
        <v/>
      </c>
      <c r="D83" s="46" t="e">
        <f>Arbejdsark!#REF!</f>
        <v>#REF!</v>
      </c>
      <c r="E83" s="45" t="e">
        <f>Arbejdsark!#REF!</f>
        <v>#REF!</v>
      </c>
      <c r="F83" s="45" t="e">
        <f>Arbejdsark!#REF!</f>
        <v>#REF!</v>
      </c>
      <c r="G83" s="45" t="e">
        <f>Arbejdsark!#REF!</f>
        <v>#REF!</v>
      </c>
      <c r="H83" s="45" t="e">
        <f>Arbejdsark!#REF!</f>
        <v>#REF!</v>
      </c>
      <c r="I83" s="45" t="str">
        <f>IF('Sortering af spørgsmål'!$C$19=Projektforudsætninger!$C$19,Arbejdsark!K260,"")</f>
        <v/>
      </c>
      <c r="J83" s="41" t="s">
        <v>9</v>
      </c>
      <c r="K83" s="41"/>
      <c r="L83" s="19"/>
      <c r="M83" s="19"/>
      <c r="N83" s="19"/>
      <c r="O83" s="19"/>
      <c r="P83" s="19"/>
      <c r="Q83" s="19"/>
      <c r="R83" s="19"/>
      <c r="S83" s="19"/>
      <c r="T83" s="19"/>
      <c r="U83" s="19"/>
    </row>
    <row r="84" spans="1:21" x14ac:dyDescent="0.45">
      <c r="A84" s="45"/>
      <c r="B84" s="45"/>
      <c r="C84" s="45"/>
      <c r="D84" s="46"/>
      <c r="E84" s="45"/>
      <c r="F84" s="45"/>
      <c r="G84" s="45"/>
      <c r="H84" s="45"/>
      <c r="I84" s="45"/>
      <c r="J84" s="47"/>
      <c r="K84" s="47"/>
      <c r="L84" s="19"/>
      <c r="M84" s="19"/>
      <c r="N84" s="19"/>
      <c r="O84" s="19"/>
      <c r="P84" s="19"/>
      <c r="Q84" s="19"/>
      <c r="R84" s="19"/>
      <c r="S84" s="19"/>
      <c r="T84" s="19"/>
      <c r="U84" s="19"/>
    </row>
    <row r="85" spans="1:21" ht="28.5" customHeight="1" x14ac:dyDescent="0.45">
      <c r="A85" s="56" t="str">
        <f>Arbejdsark!$A$265</f>
        <v>Tryghed og sikkerhed</v>
      </c>
      <c r="B85" s="57">
        <v>6</v>
      </c>
      <c r="C85" s="56"/>
      <c r="D85" s="56"/>
      <c r="E85" s="56"/>
      <c r="F85" s="56"/>
      <c r="G85" s="56"/>
      <c r="H85" s="56"/>
      <c r="I85" s="57" t="str">
        <f>IF('Sortering af spørgsmål'!$C$20=Projektforudsætninger!$C$19,"Udfyld spørgsmål","Ingen spørgsmål")</f>
        <v>Ingen spørgsmål</v>
      </c>
      <c r="J85" s="54"/>
      <c r="K85" s="54"/>
      <c r="L85" s="19"/>
      <c r="M85" s="19"/>
      <c r="N85" s="19"/>
      <c r="O85" s="19"/>
      <c r="P85" s="19"/>
      <c r="Q85" s="19"/>
      <c r="R85" s="19"/>
      <c r="S85" s="19"/>
      <c r="T85" s="19"/>
      <c r="U85" s="19"/>
    </row>
    <row r="86" spans="1:21" ht="113.65" customHeight="1" x14ac:dyDescent="0.45">
      <c r="A86" s="45" t="str">
        <f>Arbejdsark!$A$265</f>
        <v>Tryghed og sikkerhed</v>
      </c>
      <c r="B86" s="43" t="str">
        <f>Arbejdsark!$B$265</f>
        <v>6.1</v>
      </c>
      <c r="C86" s="45" t="str">
        <f>IF('Sortering af spørgsmål'!$C$20=Projektforudsætninger!$C$19,Arbejdsark!C265,"")</f>
        <v/>
      </c>
      <c r="D86" s="46">
        <f>Arbejdsark!D83</f>
        <v>0</v>
      </c>
      <c r="E86" s="45">
        <f>Arbejdsark!I83</f>
        <v>0</v>
      </c>
      <c r="F86" s="45">
        <f>Arbejdsark!J83</f>
        <v>0</v>
      </c>
      <c r="G86" s="45" t="e">
        <f>Arbejdsark!#REF!</f>
        <v>#REF!</v>
      </c>
      <c r="H86" s="45" t="e">
        <f>Arbejdsark!#REF!</f>
        <v>#REF!</v>
      </c>
      <c r="I86" s="45" t="str">
        <f>IF('Sortering af spørgsmål'!$C$20=Projektforudsætninger!$C$19,Arbejdsark!K265,"")</f>
        <v/>
      </c>
      <c r="J86" s="41" t="s">
        <v>9</v>
      </c>
      <c r="K86" s="41"/>
      <c r="L86" s="19"/>
      <c r="M86" s="19"/>
      <c r="N86" s="19"/>
      <c r="O86" s="19"/>
      <c r="P86" s="19"/>
      <c r="Q86" s="19"/>
      <c r="R86" s="19"/>
      <c r="S86" s="19"/>
      <c r="T86" s="19"/>
      <c r="U86" s="19"/>
    </row>
    <row r="87" spans="1:21" ht="113.65" customHeight="1" x14ac:dyDescent="0.45">
      <c r="A87" s="45" t="str">
        <f>Arbejdsark!$A$265</f>
        <v>Tryghed og sikkerhed</v>
      </c>
      <c r="B87" s="43" t="str">
        <f>Arbejdsark!$B$270</f>
        <v>6.2</v>
      </c>
      <c r="C87" s="45" t="str">
        <f>IF('Sortering af spørgsmål'!$C$20=Projektforudsætninger!$C$19,Arbejdsark!C270,"")</f>
        <v/>
      </c>
      <c r="D87" s="46">
        <f>Arbejdsark!D85</f>
        <v>0</v>
      </c>
      <c r="E87" s="45">
        <f>Arbejdsark!I85</f>
        <v>0</v>
      </c>
      <c r="F87" s="45">
        <f>Arbejdsark!J85</f>
        <v>0</v>
      </c>
      <c r="G87" s="45" t="e">
        <f>Arbejdsark!#REF!</f>
        <v>#REF!</v>
      </c>
      <c r="H87" s="45" t="e">
        <f>Arbejdsark!#REF!</f>
        <v>#REF!</v>
      </c>
      <c r="I87" s="45" t="str">
        <f>IF('Sortering af spørgsmål'!$C$20=Projektforudsætninger!$C$19,Arbejdsark!K270,"")</f>
        <v/>
      </c>
      <c r="J87" s="41" t="s">
        <v>9</v>
      </c>
      <c r="K87" s="41"/>
      <c r="L87" s="19"/>
      <c r="M87" s="19"/>
      <c r="N87" s="19"/>
      <c r="O87" s="19"/>
      <c r="P87" s="19"/>
      <c r="Q87" s="19"/>
      <c r="R87" s="19"/>
      <c r="S87" s="19"/>
      <c r="T87" s="19"/>
      <c r="U87" s="19"/>
    </row>
    <row r="88" spans="1:21" x14ac:dyDescent="0.45">
      <c r="A88" s="45"/>
      <c r="B88" s="45"/>
      <c r="C88" s="45"/>
      <c r="D88" s="46"/>
      <c r="E88" s="45"/>
      <c r="F88" s="45"/>
      <c r="G88" s="45"/>
      <c r="H88" s="45"/>
      <c r="I88" s="45"/>
      <c r="J88" s="47"/>
      <c r="K88" s="47"/>
      <c r="L88" s="19"/>
      <c r="M88" s="19"/>
      <c r="N88" s="19"/>
      <c r="O88" s="19"/>
      <c r="P88" s="19"/>
      <c r="Q88" s="19"/>
      <c r="R88" s="19"/>
      <c r="S88" s="19"/>
      <c r="T88" s="19"/>
      <c r="U88" s="19"/>
    </row>
    <row r="89" spans="1:21" ht="28.5" customHeight="1" x14ac:dyDescent="0.45">
      <c r="A89" s="56" t="str">
        <f>Arbejdsark!$A$279</f>
        <v>Arkitektonisk kvalitet</v>
      </c>
      <c r="B89" s="57">
        <v>7</v>
      </c>
      <c r="C89" s="56"/>
      <c r="D89" s="56"/>
      <c r="E89" s="56"/>
      <c r="F89" s="56"/>
      <c r="G89" s="56"/>
      <c r="H89" s="56"/>
      <c r="I89" s="57" t="str">
        <f>IF('Sortering af spørgsmål'!$C$21=Projektforudsætninger!$C$19,"Udfyld spørgsmål","Ingen spørgsmål")</f>
        <v>Ingen spørgsmål</v>
      </c>
      <c r="J89" s="54"/>
      <c r="K89" s="54"/>
      <c r="L89" s="19"/>
      <c r="M89" s="19"/>
      <c r="N89" s="19"/>
      <c r="O89" s="19"/>
      <c r="P89" s="19"/>
      <c r="Q89" s="19"/>
      <c r="R89" s="19"/>
      <c r="S89" s="19"/>
      <c r="T89" s="19"/>
      <c r="U89" s="19"/>
    </row>
    <row r="90" spans="1:21" s="33" customFormat="1" ht="74.25" customHeight="1" x14ac:dyDescent="0.45">
      <c r="A90" s="45" t="str">
        <f>IF(Projektforudsætninger!C40="Totalentreprisekonkurrence",Arbejdsark!$A$279,"")</f>
        <v/>
      </c>
      <c r="B90" s="43" t="str">
        <f>Arbejdsark!$B$289</f>
        <v>7.1</v>
      </c>
      <c r="C90" s="45" t="str">
        <f>IF('Sortering af spørgsmål'!$C$21=Projektforudsætninger!$C$19,IF(Projektforudsætninger!C40="Totalentreprisekonkurrence",Arbejdsark!C279,""),"")</f>
        <v/>
      </c>
      <c r="D90" s="46"/>
      <c r="E90" s="45"/>
      <c r="F90" s="45"/>
      <c r="G90" s="45"/>
      <c r="H90" s="45"/>
      <c r="I90" s="45" t="str">
        <f>IF('Sortering af spørgsmål'!$C$21=Projektforudsætninger!$C$19,IF(Projektforudsætninger!C40="Totalentreprisekonkurrence",Arbejdsark!K289,""),"")</f>
        <v/>
      </c>
      <c r="J90" s="41" t="s">
        <v>9</v>
      </c>
      <c r="K90" s="41"/>
      <c r="L90" s="32"/>
      <c r="M90" s="32"/>
      <c r="N90" s="32"/>
      <c r="O90" s="32"/>
      <c r="P90" s="32"/>
      <c r="Q90" s="32"/>
      <c r="R90" s="32"/>
      <c r="S90" s="32"/>
      <c r="T90" s="32"/>
      <c r="U90" s="32"/>
    </row>
    <row r="91" spans="1:21" s="33" customFormat="1" ht="75.75" customHeight="1" x14ac:dyDescent="0.45">
      <c r="A91" s="45" t="str">
        <f>IF(Projektforudsætninger!C40="Totalentreprisekonkurrence",Arbejdsark!$A$279,"")</f>
        <v/>
      </c>
      <c r="B91" s="43" t="str">
        <f>Arbejdsark!$B$294</f>
        <v>7.2</v>
      </c>
      <c r="C91" s="45" t="str">
        <f>IF('Sortering af spørgsmål'!$C$21=Projektforudsætninger!$C$19,IF(Projektforudsætninger!C41="Totalentreprisekonkurrence",Arbejdsark!C294,""),"")</f>
        <v/>
      </c>
      <c r="D91" s="46"/>
      <c r="E91" s="45"/>
      <c r="F91" s="45"/>
      <c r="G91" s="45"/>
      <c r="H91" s="45"/>
      <c r="I91" s="45" t="str">
        <f>IF('Sortering af spørgsmål'!$C$21=Projektforudsætninger!$C$19,IF(Projektforudsætninger!C40="Totalentreprisekonkurrence",Arbejdsark!K294,""),"")</f>
        <v/>
      </c>
      <c r="J91" s="41" t="s">
        <v>9</v>
      </c>
      <c r="K91" s="41"/>
      <c r="L91" s="32"/>
      <c r="M91" s="32"/>
      <c r="N91" s="32"/>
      <c r="O91" s="32"/>
      <c r="P91" s="32"/>
      <c r="Q91" s="32"/>
      <c r="R91" s="32"/>
      <c r="S91" s="32"/>
      <c r="T91" s="32"/>
      <c r="U91" s="32"/>
    </row>
    <row r="92" spans="1:21" x14ac:dyDescent="0.45">
      <c r="A92" s="45"/>
      <c r="B92" s="45"/>
      <c r="C92" s="45"/>
      <c r="D92" s="46"/>
      <c r="E92" s="45"/>
      <c r="F92" s="45"/>
      <c r="G92" s="45"/>
      <c r="H92" s="45"/>
      <c r="I92" s="45"/>
      <c r="J92" s="47"/>
      <c r="K92" s="47"/>
      <c r="L92" s="19"/>
      <c r="M92" s="19"/>
      <c r="N92" s="19"/>
      <c r="O92" s="19"/>
      <c r="P92" s="19"/>
      <c r="Q92" s="19"/>
      <c r="R92" s="19"/>
      <c r="S92" s="19"/>
      <c r="T92" s="19"/>
      <c r="U92" s="19"/>
    </row>
    <row r="93" spans="1:21" ht="28.5" customHeight="1" x14ac:dyDescent="0.45">
      <c r="A93" s="56" t="str">
        <f>Arbejdsark!$A$300</f>
        <v>Plandisponering</v>
      </c>
      <c r="B93" s="57">
        <v>8</v>
      </c>
      <c r="C93" s="56"/>
      <c r="D93" s="56"/>
      <c r="E93" s="56"/>
      <c r="F93" s="56"/>
      <c r="G93" s="56"/>
      <c r="H93" s="56"/>
      <c r="I93" s="57" t="str">
        <f>IF('Sortering af spørgsmål'!$C$22=Projektforudsætninger!$C$19,"Udfyld spørgsmål","Ingen spørgsmål")</f>
        <v>Ingen spørgsmål</v>
      </c>
      <c r="J93" s="54"/>
      <c r="K93" s="54"/>
      <c r="L93" s="19"/>
      <c r="M93" s="19"/>
      <c r="N93" s="19"/>
      <c r="O93" s="19"/>
      <c r="P93" s="19"/>
      <c r="Q93" s="19"/>
      <c r="R93" s="19"/>
      <c r="S93" s="19"/>
      <c r="T93" s="19"/>
      <c r="U93" s="19"/>
    </row>
    <row r="94" spans="1:21" ht="97.5" customHeight="1" x14ac:dyDescent="0.45">
      <c r="A94" s="45" t="str">
        <f>Arbejdsark!$A$300</f>
        <v>Plandisponering</v>
      </c>
      <c r="B94" s="43" t="str">
        <f>Arbejdsark!$B$300</f>
        <v>8.1</v>
      </c>
      <c r="C94" s="45" t="str">
        <f>IF('Sortering af spørgsmål'!$C$22=Projektforudsætninger!$C$19,Arbejdsark!C300,"")</f>
        <v/>
      </c>
      <c r="D94" s="46" t="str">
        <f>Arbejdsark!D91</f>
        <v>ECO2.2
Vægtning: ECO2.2 pkt. 1.1 + 1.2 +1.3</v>
      </c>
      <c r="E94" s="45" t="str">
        <f>Arbejdsark!I91</f>
        <v>x</v>
      </c>
      <c r="F94" s="45">
        <f>Arbejdsark!J91</f>
        <v>0</v>
      </c>
      <c r="G94" s="45" t="e">
        <f>Arbejdsark!#REF!</f>
        <v>#REF!</v>
      </c>
      <c r="H94" s="45" t="e">
        <f>Arbejdsark!#REF!</f>
        <v>#REF!</v>
      </c>
      <c r="I94" s="45" t="str">
        <f>IF('Sortering af spørgsmål'!$C$22=Projektforudsætninger!$C$19,Arbejdsark!K300,"")</f>
        <v/>
      </c>
      <c r="J94" s="41" t="s">
        <v>9</v>
      </c>
      <c r="K94" s="41"/>
      <c r="L94" s="19"/>
      <c r="M94" s="19"/>
      <c r="N94" s="19"/>
      <c r="O94" s="19"/>
      <c r="P94" s="19"/>
      <c r="Q94" s="19"/>
      <c r="R94" s="19"/>
      <c r="S94" s="19"/>
      <c r="T94" s="19"/>
      <c r="U94" s="19"/>
    </row>
    <row r="95" spans="1:21" ht="113.65" customHeight="1" x14ac:dyDescent="0.45">
      <c r="A95" s="45" t="str">
        <f>Arbejdsark!$A$300</f>
        <v>Plandisponering</v>
      </c>
      <c r="B95" s="43" t="str">
        <f>Arbejdsark!$B$306</f>
        <v>8.2</v>
      </c>
      <c r="C95" s="45" t="str">
        <f>IF('Sortering af spørgsmål'!$C$22=Projektforudsætninger!$C$19,Arbejdsark!C306,"")</f>
        <v/>
      </c>
      <c r="D95" s="46">
        <f>Arbejdsark!D92</f>
        <v>0</v>
      </c>
      <c r="E95" s="45">
        <f>Arbejdsark!I92</f>
        <v>0</v>
      </c>
      <c r="F95" s="45">
        <f>Arbejdsark!J92</f>
        <v>0</v>
      </c>
      <c r="G95" s="45" t="e">
        <f>Arbejdsark!#REF!</f>
        <v>#REF!</v>
      </c>
      <c r="H95" s="45" t="e">
        <f>Arbejdsark!#REF!</f>
        <v>#REF!</v>
      </c>
      <c r="I95" s="45" t="str">
        <f>IF('Sortering af spørgsmål'!$C$22=Projektforudsætninger!$C$19,Arbejdsark!K306,"")</f>
        <v/>
      </c>
      <c r="J95" s="41" t="s">
        <v>9</v>
      </c>
      <c r="K95" s="41"/>
      <c r="L95" s="19"/>
      <c r="M95" s="19"/>
      <c r="N95" s="19"/>
      <c r="O95" s="19"/>
      <c r="P95" s="19"/>
      <c r="Q95" s="19"/>
      <c r="R95" s="19"/>
      <c r="S95" s="19"/>
      <c r="T95" s="19"/>
      <c r="U95" s="19"/>
    </row>
    <row r="96" spans="1:21" ht="141.75" customHeight="1" x14ac:dyDescent="0.45">
      <c r="A96" s="45" t="str">
        <f>Arbejdsark!$A$300</f>
        <v>Plandisponering</v>
      </c>
      <c r="B96" s="43" t="str">
        <f>Arbejdsark!$B$311</f>
        <v>8.3</v>
      </c>
      <c r="C96" s="45" t="str">
        <f>IF('Sortering af spørgsmål'!$C$22=Projektforudsætninger!$C$19,Arbejdsark!C311,"")</f>
        <v/>
      </c>
      <c r="D96" s="46">
        <f>Arbejdsark!D93</f>
        <v>0</v>
      </c>
      <c r="E96" s="45">
        <f>Arbejdsark!I93</f>
        <v>0</v>
      </c>
      <c r="F96" s="45">
        <f>Arbejdsark!J93</f>
        <v>0</v>
      </c>
      <c r="G96" s="45" t="e">
        <f>Arbejdsark!#REF!</f>
        <v>#REF!</v>
      </c>
      <c r="H96" s="45" t="e">
        <f>Arbejdsark!#REF!</f>
        <v>#REF!</v>
      </c>
      <c r="I96" s="45" t="str">
        <f>IF('Sortering af spørgsmål'!$C$22=Projektforudsætninger!$C$19,Arbejdsark!K311,"")</f>
        <v/>
      </c>
      <c r="J96" s="41" t="s">
        <v>9</v>
      </c>
      <c r="K96" s="41"/>
      <c r="L96" s="19"/>
      <c r="M96" s="19"/>
      <c r="N96" s="19"/>
      <c r="O96" s="19"/>
      <c r="P96" s="19"/>
      <c r="Q96" s="19"/>
      <c r="R96" s="19"/>
      <c r="S96" s="19"/>
      <c r="T96" s="19"/>
      <c r="U96" s="19"/>
    </row>
    <row r="97" spans="1:21" ht="113.65" customHeight="1" x14ac:dyDescent="0.45">
      <c r="A97" s="45" t="str">
        <f>Arbejdsark!$A$300</f>
        <v>Plandisponering</v>
      </c>
      <c r="B97" s="43" t="str">
        <f>Arbejdsark!$B$316</f>
        <v>8.4</v>
      </c>
      <c r="C97" s="45" t="str">
        <f>IF('Sortering af spørgsmål'!$C$22=Projektforudsætninger!$C$19,Arbejdsark!C316,"")</f>
        <v/>
      </c>
      <c r="D97" s="46">
        <f>Arbejdsark!D94</f>
        <v>0</v>
      </c>
      <c r="E97" s="45">
        <f>Arbejdsark!I94</f>
        <v>0</v>
      </c>
      <c r="F97" s="45">
        <f>Arbejdsark!J94</f>
        <v>0</v>
      </c>
      <c r="G97" s="45" t="e">
        <f>Arbejdsark!#REF!</f>
        <v>#REF!</v>
      </c>
      <c r="H97" s="45" t="e">
        <f>Arbejdsark!#REF!</f>
        <v>#REF!</v>
      </c>
      <c r="I97" s="45" t="str">
        <f>IF('Sortering af spørgsmål'!$C$22=Projektforudsætninger!$C$19,Arbejdsark!K316,"")</f>
        <v/>
      </c>
      <c r="J97" s="41" t="s">
        <v>9</v>
      </c>
      <c r="K97" s="41"/>
      <c r="L97" s="19"/>
      <c r="M97" s="19"/>
      <c r="N97" s="19"/>
      <c r="O97" s="19"/>
      <c r="P97" s="19"/>
      <c r="Q97" s="19"/>
      <c r="R97" s="19"/>
      <c r="S97" s="19"/>
      <c r="T97" s="19"/>
      <c r="U97" s="19"/>
    </row>
    <row r="98" spans="1:21" ht="127.5" customHeight="1" x14ac:dyDescent="0.45">
      <c r="A98" s="45" t="str">
        <f>Arbejdsark!$A$300</f>
        <v>Plandisponering</v>
      </c>
      <c r="B98" s="43" t="str">
        <f>Arbejdsark!$B$321</f>
        <v>8.5</v>
      </c>
      <c r="C98" s="45" t="str">
        <f>IF('Sortering af spørgsmål'!$C$22=Projektforudsætninger!$C$19,Arbejdsark!C321,"")</f>
        <v/>
      </c>
      <c r="D98" s="46">
        <f>Arbejdsark!D95</f>
        <v>0</v>
      </c>
      <c r="E98" s="45">
        <f>Arbejdsark!I95</f>
        <v>0</v>
      </c>
      <c r="F98" s="45">
        <f>Arbejdsark!J95</f>
        <v>0</v>
      </c>
      <c r="G98" s="45" t="e">
        <f>Arbejdsark!#REF!</f>
        <v>#REF!</v>
      </c>
      <c r="H98" s="45" t="e">
        <f>Arbejdsark!#REF!</f>
        <v>#REF!</v>
      </c>
      <c r="I98" s="45" t="str">
        <f>IF('Sortering af spørgsmål'!$C$22=Projektforudsætninger!$C$19,Arbejdsark!K321,"")</f>
        <v/>
      </c>
      <c r="J98" s="41" t="s">
        <v>9</v>
      </c>
      <c r="K98" s="41"/>
      <c r="L98" s="19"/>
      <c r="M98" s="19"/>
      <c r="N98" s="19"/>
      <c r="O98" s="19"/>
      <c r="P98" s="19"/>
      <c r="Q98" s="19"/>
      <c r="R98" s="19"/>
      <c r="S98" s="19"/>
      <c r="T98" s="19"/>
      <c r="U98" s="19"/>
    </row>
    <row r="99" spans="1:21" ht="141.75" customHeight="1" x14ac:dyDescent="0.45">
      <c r="A99" s="45" t="str">
        <f>Arbejdsark!$A$300</f>
        <v>Plandisponering</v>
      </c>
      <c r="B99" s="43" t="str">
        <f>Arbejdsark!$B$326</f>
        <v>8.6</v>
      </c>
      <c r="C99" s="45" t="str">
        <f>IF('Sortering af spørgsmål'!$C$22=Projektforudsætninger!$C$19,Arbejdsark!C326,"")</f>
        <v/>
      </c>
      <c r="D99" s="46" t="e">
        <f>Arbejdsark!#REF!</f>
        <v>#REF!</v>
      </c>
      <c r="E99" s="45" t="e">
        <f>Arbejdsark!#REF!</f>
        <v>#REF!</v>
      </c>
      <c r="F99" s="45" t="e">
        <f>Arbejdsark!#REF!</f>
        <v>#REF!</v>
      </c>
      <c r="G99" s="45" t="e">
        <f>Arbejdsark!#REF!</f>
        <v>#REF!</v>
      </c>
      <c r="H99" s="45" t="e">
        <f>Arbejdsark!#REF!</f>
        <v>#REF!</v>
      </c>
      <c r="I99" s="45" t="str">
        <f>IF('Sortering af spørgsmål'!$C$22=Projektforudsætninger!$C$19,Arbejdsark!K326,"")</f>
        <v/>
      </c>
      <c r="J99" s="41" t="s">
        <v>9</v>
      </c>
      <c r="K99" s="41"/>
      <c r="L99" s="19"/>
      <c r="M99" s="19"/>
      <c r="N99" s="19"/>
      <c r="O99" s="19"/>
      <c r="P99" s="19"/>
      <c r="Q99" s="19"/>
      <c r="R99" s="19"/>
      <c r="S99" s="19"/>
      <c r="T99" s="19"/>
      <c r="U99" s="19"/>
    </row>
    <row r="100" spans="1:21" ht="141.75" customHeight="1" x14ac:dyDescent="0.45">
      <c r="A100" s="45" t="str">
        <f>Arbejdsark!$A$300</f>
        <v>Plandisponering</v>
      </c>
      <c r="B100" s="43" t="str">
        <f>Arbejdsark!$B$331</f>
        <v>8.7</v>
      </c>
      <c r="C100" s="45" t="str">
        <f>IF('Sortering af spørgsmål'!$C$22=Projektforudsætninger!$C$19,Arbejdsark!C331,"")</f>
        <v/>
      </c>
      <c r="D100" s="46" t="str">
        <f>Arbejdsark!D109</f>
        <v>ECO1.1
Vægtning: 13% af ECO1.1</v>
      </c>
      <c r="E100" s="45" t="str">
        <f>Arbejdsark!I109</f>
        <v>x</v>
      </c>
      <c r="F100" s="45">
        <f>Arbejdsark!J109</f>
        <v>0</v>
      </c>
      <c r="G100" s="45" t="e">
        <f>Arbejdsark!#REF!</f>
        <v>#REF!</v>
      </c>
      <c r="H100" s="45" t="e">
        <f>Arbejdsark!#REF!</f>
        <v>#REF!</v>
      </c>
      <c r="I100" s="45" t="str">
        <f>IF('Sortering af spørgsmål'!$C$22=Projektforudsætninger!$C$19,Arbejdsark!K331,"")</f>
        <v/>
      </c>
      <c r="J100" s="41" t="s">
        <v>9</v>
      </c>
      <c r="K100" s="41"/>
      <c r="L100" s="19"/>
      <c r="M100" s="19"/>
      <c r="N100" s="19"/>
      <c r="O100" s="19"/>
      <c r="P100" s="19"/>
      <c r="Q100" s="19"/>
      <c r="R100" s="19"/>
      <c r="S100" s="19"/>
      <c r="T100" s="19"/>
      <c r="U100" s="19"/>
    </row>
    <row r="101" spans="1:21" ht="141.75" customHeight="1" x14ac:dyDescent="0.45">
      <c r="A101" s="45" t="str">
        <f>Arbejdsark!$A$300</f>
        <v>Plandisponering</v>
      </c>
      <c r="B101" s="43" t="str">
        <f>Arbejdsark!$B$336</f>
        <v>8.8</v>
      </c>
      <c r="C101" s="45" t="str">
        <f>IF('Sortering af spørgsmål'!$C$22=Projektforudsætninger!$C$19,Arbejdsark!C336,"")</f>
        <v/>
      </c>
      <c r="D101" s="46">
        <f>Arbejdsark!D110</f>
        <v>0</v>
      </c>
      <c r="E101" s="45">
        <f>Arbejdsark!I110</f>
        <v>0</v>
      </c>
      <c r="F101" s="45">
        <f>Arbejdsark!J110</f>
        <v>0</v>
      </c>
      <c r="G101" s="45" t="e">
        <f>Arbejdsark!#REF!</f>
        <v>#REF!</v>
      </c>
      <c r="H101" s="45" t="e">
        <f>Arbejdsark!#REF!</f>
        <v>#REF!</v>
      </c>
      <c r="I101" s="45" t="str">
        <f>IF('Sortering af spørgsmål'!$C$22=Projektforudsætninger!$C$19,Arbejdsark!K336,"")</f>
        <v/>
      </c>
      <c r="J101" s="41" t="s">
        <v>9</v>
      </c>
      <c r="K101" s="41"/>
      <c r="L101" s="19"/>
      <c r="M101" s="19"/>
      <c r="N101" s="19"/>
      <c r="O101" s="19"/>
      <c r="P101" s="19"/>
      <c r="Q101" s="19"/>
      <c r="R101" s="19"/>
      <c r="S101" s="19"/>
      <c r="T101" s="19"/>
      <c r="U101" s="19"/>
    </row>
    <row r="102" spans="1:21" ht="141.75" customHeight="1" x14ac:dyDescent="0.45">
      <c r="A102" s="45" t="str">
        <f>Arbejdsark!$A$300</f>
        <v>Plandisponering</v>
      </c>
      <c r="B102" s="43" t="str">
        <f>Arbejdsark!$B$341</f>
        <v>8.9</v>
      </c>
      <c r="C102" s="45" t="str">
        <f>IF('Sortering af spørgsmål'!$C$22=Projektforudsætninger!$C$19,Arbejdsark!C341,"")</f>
        <v/>
      </c>
      <c r="D102" s="46">
        <f>Arbejdsark!D111</f>
        <v>0</v>
      </c>
      <c r="E102" s="45">
        <f>Arbejdsark!I111</f>
        <v>0</v>
      </c>
      <c r="F102" s="45">
        <f>Arbejdsark!J111</f>
        <v>0</v>
      </c>
      <c r="G102" s="45" t="e">
        <f>Arbejdsark!#REF!</f>
        <v>#REF!</v>
      </c>
      <c r="H102" s="45" t="e">
        <f>Arbejdsark!#REF!</f>
        <v>#REF!</v>
      </c>
      <c r="I102" s="45" t="str">
        <f>IF('Sortering af spørgsmål'!$C$22=Projektforudsætninger!$C$19,Arbejdsark!K341,"")</f>
        <v/>
      </c>
      <c r="J102" s="41" t="s">
        <v>9</v>
      </c>
      <c r="K102" s="41"/>
      <c r="L102" s="19"/>
      <c r="M102" s="19"/>
      <c r="N102" s="19"/>
      <c r="O102" s="19"/>
      <c r="P102" s="19"/>
      <c r="Q102" s="19"/>
      <c r="R102" s="19"/>
      <c r="S102" s="19"/>
      <c r="T102" s="19"/>
      <c r="U102" s="19"/>
    </row>
    <row r="103" spans="1:21" ht="141.75" customHeight="1" x14ac:dyDescent="0.45">
      <c r="A103" s="45" t="str">
        <f>Arbejdsark!$A$300</f>
        <v>Plandisponering</v>
      </c>
      <c r="B103" s="43" t="str">
        <f>Arbejdsark!$B$346</f>
        <v>8.10</v>
      </c>
      <c r="C103" s="45" t="str">
        <f>IF('Sortering af spørgsmål'!$C$22=Projektforudsætninger!$C$19,Arbejdsark!C346,"")</f>
        <v/>
      </c>
      <c r="D103" s="46">
        <f>Arbejdsark!D112</f>
        <v>0</v>
      </c>
      <c r="E103" s="45">
        <f>Arbejdsark!I112</f>
        <v>0</v>
      </c>
      <c r="F103" s="45">
        <f>Arbejdsark!J112</f>
        <v>0</v>
      </c>
      <c r="G103" s="45" t="e">
        <f>Arbejdsark!#REF!</f>
        <v>#REF!</v>
      </c>
      <c r="H103" s="45" t="e">
        <f>Arbejdsark!#REF!</f>
        <v>#REF!</v>
      </c>
      <c r="I103" s="45" t="str">
        <f>IF('Sortering af spørgsmål'!$C$22=Projektforudsætninger!$C$19,Arbejdsark!K346,"")</f>
        <v/>
      </c>
      <c r="J103" s="41" t="s">
        <v>9</v>
      </c>
      <c r="K103" s="41"/>
      <c r="L103" s="19"/>
      <c r="M103" s="19"/>
      <c r="N103" s="19"/>
      <c r="O103" s="19"/>
      <c r="P103" s="19"/>
      <c r="Q103" s="19"/>
      <c r="R103" s="19"/>
      <c r="S103" s="19"/>
      <c r="T103" s="19"/>
      <c r="U103" s="19"/>
    </row>
    <row r="104" spans="1:21" ht="85.15" customHeight="1" x14ac:dyDescent="0.45">
      <c r="A104" s="45" t="str">
        <f>Arbejdsark!$A$300</f>
        <v>Plandisponering</v>
      </c>
      <c r="B104" s="43" t="str">
        <f>Arbejdsark!$B$351</f>
        <v>8.11</v>
      </c>
      <c r="C104" s="45" t="str">
        <f>IF('Sortering af spørgsmål'!$C$22=Projektforudsætninger!$C$19,Arbejdsark!C351,"")</f>
        <v/>
      </c>
      <c r="D104" s="46">
        <f>Arbejdsark!D113</f>
        <v>0</v>
      </c>
      <c r="E104" s="45">
        <f>Arbejdsark!I113</f>
        <v>0</v>
      </c>
      <c r="F104" s="45">
        <f>Arbejdsark!J113</f>
        <v>0</v>
      </c>
      <c r="G104" s="45" t="e">
        <f>Arbejdsark!#REF!</f>
        <v>#REF!</v>
      </c>
      <c r="H104" s="45" t="e">
        <f>Arbejdsark!#REF!</f>
        <v>#REF!</v>
      </c>
      <c r="I104" s="45" t="str">
        <f>IF('Sortering af spørgsmål'!$C$22=Projektforudsætninger!$C$19,Arbejdsark!K351,"")</f>
        <v/>
      </c>
      <c r="J104" s="41" t="s">
        <v>9</v>
      </c>
      <c r="K104" s="41"/>
    </row>
    <row r="105" spans="1:21" ht="113.65" customHeight="1" x14ac:dyDescent="0.45">
      <c r="A105" s="45" t="str">
        <f>Arbejdsark!$A$300</f>
        <v>Plandisponering</v>
      </c>
      <c r="B105" s="43" t="str">
        <f>Arbejdsark!$B$356</f>
        <v>8.12</v>
      </c>
      <c r="C105" s="45" t="str">
        <f>IF('Sortering af spørgsmål'!$C$22=Projektforudsætninger!$C$19,Arbejdsark!C356,"")</f>
        <v/>
      </c>
      <c r="D105" s="46">
        <f>Arbejdsark!D113</f>
        <v>0</v>
      </c>
      <c r="E105" s="45">
        <f>Arbejdsark!I113</f>
        <v>0</v>
      </c>
      <c r="F105" s="45">
        <f>Arbejdsark!J113</f>
        <v>0</v>
      </c>
      <c r="G105" s="45" t="e">
        <f>Arbejdsark!#REF!</f>
        <v>#REF!</v>
      </c>
      <c r="H105" s="45" t="e">
        <f>Arbejdsark!#REF!</f>
        <v>#REF!</v>
      </c>
      <c r="I105" s="45" t="str">
        <f>IF('Sortering af spørgsmål'!$C$22=Projektforudsætninger!$C$19,Arbejdsark!K356,"")</f>
        <v/>
      </c>
      <c r="J105" s="41" t="s">
        <v>9</v>
      </c>
      <c r="K105" s="41"/>
    </row>
    <row r="106" spans="1:21" ht="141.75" customHeight="1" x14ac:dyDescent="0.45">
      <c r="A106" s="45" t="str">
        <f>Arbejdsark!$A$300</f>
        <v>Plandisponering</v>
      </c>
      <c r="B106" s="43" t="str">
        <f>Arbejdsark!$B$361</f>
        <v>8.13</v>
      </c>
      <c r="C106" s="45" t="str">
        <f>IF('Sortering af spørgsmål'!$C$22=Projektforudsætninger!$C$19,Arbejdsark!C361,"")</f>
        <v/>
      </c>
      <c r="D106" s="46" t="str">
        <f>Arbejdsark!D114</f>
        <v>ECO2.1
Vægtning: ECO2.1 pkt 2</v>
      </c>
      <c r="E106" s="45" t="str">
        <f>Arbejdsark!I114</f>
        <v>x</v>
      </c>
      <c r="F106" s="45">
        <f>Arbejdsark!J114</f>
        <v>0</v>
      </c>
      <c r="G106" s="45" t="e">
        <f>Arbejdsark!#REF!</f>
        <v>#REF!</v>
      </c>
      <c r="H106" s="45" t="e">
        <f>Arbejdsark!#REF!</f>
        <v>#REF!</v>
      </c>
      <c r="I106" s="45" t="str">
        <f>IF('Sortering af spørgsmål'!$C$22=Projektforudsætninger!$C$19,Arbejdsark!K361,"")</f>
        <v/>
      </c>
      <c r="J106" s="41" t="s">
        <v>9</v>
      </c>
      <c r="K106" s="41"/>
    </row>
    <row r="107" spans="1:21" ht="99.4" customHeight="1" x14ac:dyDescent="0.45">
      <c r="A107" s="45" t="str">
        <f>Arbejdsark!$A$300</f>
        <v>Plandisponering</v>
      </c>
      <c r="B107" s="43" t="str">
        <f>Arbejdsark!$B$366</f>
        <v>8.14</v>
      </c>
      <c r="C107" s="45" t="str">
        <f>IF('Sortering af spørgsmål'!$C$22=Projektforudsætninger!$C$19,Arbejdsark!C366,"")</f>
        <v/>
      </c>
      <c r="D107" s="46"/>
      <c r="E107" s="45"/>
      <c r="F107" s="45"/>
      <c r="G107" s="45"/>
      <c r="H107" s="45"/>
      <c r="I107" s="45" t="str">
        <f>IF('Sortering af spørgsmål'!$C$22=Projektforudsætninger!$C$19,Arbejdsark!K366,"")</f>
        <v/>
      </c>
      <c r="J107" s="41" t="s">
        <v>9</v>
      </c>
      <c r="K107" s="41"/>
    </row>
    <row r="108" spans="1:21" ht="85.15" customHeight="1" x14ac:dyDescent="0.45">
      <c r="A108" s="45" t="str">
        <f>Arbejdsark!$A$300</f>
        <v>Plandisponering</v>
      </c>
      <c r="B108" s="43" t="str">
        <f>Arbejdsark!$B$371</f>
        <v>8.15</v>
      </c>
      <c r="C108" s="45" t="str">
        <f>IF('Sortering af spørgsmål'!$C$22=Projektforudsætninger!$C$19,Arbejdsark!C371,"")</f>
        <v/>
      </c>
      <c r="D108" s="46">
        <f>Arbejdsark!D115</f>
        <v>0</v>
      </c>
      <c r="E108" s="45">
        <f>Arbejdsark!I115</f>
        <v>0</v>
      </c>
      <c r="F108" s="45">
        <f>Arbejdsark!J115</f>
        <v>0</v>
      </c>
      <c r="G108" s="45" t="e">
        <f>Arbejdsark!#REF!</f>
        <v>#REF!</v>
      </c>
      <c r="H108" s="45" t="e">
        <f>Arbejdsark!#REF!</f>
        <v>#REF!</v>
      </c>
      <c r="I108" s="45" t="str">
        <f>IF('Sortering af spørgsmål'!$C$22=Projektforudsætninger!$C$19,Arbejdsark!K371,"")</f>
        <v/>
      </c>
      <c r="J108" s="41" t="s">
        <v>9</v>
      </c>
      <c r="K108" s="41"/>
    </row>
    <row r="109" spans="1:21" x14ac:dyDescent="0.45">
      <c r="A109" s="45"/>
      <c r="B109" s="45"/>
      <c r="C109" s="45"/>
      <c r="D109" s="46"/>
      <c r="E109" s="45"/>
      <c r="F109" s="45"/>
      <c r="G109" s="45"/>
      <c r="H109" s="45"/>
      <c r="I109" s="45"/>
      <c r="J109" s="47"/>
      <c r="K109" s="47"/>
    </row>
    <row r="110" spans="1:21" ht="28.5" customHeight="1" x14ac:dyDescent="0.45">
      <c r="A110" s="274" t="str">
        <f>Arbejdsark!$A$376</f>
        <v>TEKNISK KVALITET</v>
      </c>
      <c r="B110" s="274"/>
      <c r="C110" s="274"/>
      <c r="D110" s="274"/>
      <c r="E110" s="274"/>
      <c r="F110" s="274"/>
      <c r="G110" s="274"/>
      <c r="H110" s="274"/>
      <c r="I110" s="275"/>
      <c r="J110" s="276"/>
      <c r="K110" s="276"/>
    </row>
    <row r="111" spans="1:21" ht="28.5" customHeight="1" x14ac:dyDescent="0.45">
      <c r="A111" s="58" t="str">
        <f>$A$4</f>
        <v>Tema</v>
      </c>
      <c r="B111" s="58" t="str">
        <f t="shared" ref="B111" si="2">B4</f>
        <v>ID</v>
      </c>
      <c r="C111" s="58" t="str">
        <f>$C$4</f>
        <v>Emne</v>
      </c>
      <c r="D111" s="58" t="str">
        <f>D4</f>
        <v>DGNB kriterium</v>
      </c>
      <c r="E111" s="58" t="str">
        <f>E4</f>
        <v>Byggeudvalg eller Hovedbestyrelse</v>
      </c>
      <c r="F111" s="58" t="str">
        <f>F4</f>
        <v>Projektleder</v>
      </c>
      <c r="G111" s="58" t="str">
        <f>G4</f>
        <v>#REFERENCE!</v>
      </c>
      <c r="H111" s="58" t="str">
        <f>H4</f>
        <v>Ikon</v>
      </c>
      <c r="I111" s="58" t="str">
        <f>$I$4</f>
        <v>Spørgsmål</v>
      </c>
      <c r="J111" s="59" t="str">
        <f>$J$4</f>
        <v>Svar</v>
      </c>
      <c r="K111" s="59" t="str">
        <f>$K$4</f>
        <v>Uddybende kommentarer</v>
      </c>
    </row>
    <row r="112" spans="1:21" ht="28.5" customHeight="1" x14ac:dyDescent="0.45">
      <c r="A112" s="274" t="str">
        <f>Arbejdsark!$A$378</f>
        <v>Personsikkerhed</v>
      </c>
      <c r="B112" s="274">
        <v>1</v>
      </c>
      <c r="C112" s="274"/>
      <c r="D112" s="274"/>
      <c r="E112" s="274"/>
      <c r="F112" s="274"/>
      <c r="G112" s="274"/>
      <c r="H112" s="274"/>
      <c r="I112" s="275" t="str">
        <f>IF('Sortering af spørgsmål'!$C$23=Projektforudsætninger!$C$19,"Udfyld spørgsmål","Ingen spørgsmål")</f>
        <v>Ingen spørgsmål</v>
      </c>
      <c r="J112" s="276"/>
      <c r="K112" s="276"/>
    </row>
    <row r="113" spans="1:11" ht="99.4" customHeight="1" x14ac:dyDescent="0.45">
      <c r="A113" s="45" t="str">
        <f>Arbejdsark!$A$378</f>
        <v>Personsikkerhed</v>
      </c>
      <c r="B113" s="43" t="str">
        <f>Arbejdsark!$B$378</f>
        <v>1.1</v>
      </c>
      <c r="C113" s="45" t="str">
        <f>IF('Sortering af spørgsmål'!$C$23=Projektforudsætninger!$C$19,Arbejdsark!C378,"")</f>
        <v/>
      </c>
      <c r="D113" s="46">
        <f>Arbejdsark!D120</f>
        <v>0</v>
      </c>
      <c r="E113" s="45">
        <f>Arbejdsark!I120</f>
        <v>0</v>
      </c>
      <c r="F113" s="45">
        <f>Arbejdsark!J120</f>
        <v>0</v>
      </c>
      <c r="G113" s="45" t="e">
        <f>Arbejdsark!#REF!</f>
        <v>#REF!</v>
      </c>
      <c r="H113" s="45" t="e">
        <f>Arbejdsark!#REF!</f>
        <v>#REF!</v>
      </c>
      <c r="I113" s="45" t="str">
        <f>IF('Sortering af spørgsmål'!$C$23=Projektforudsætninger!$C$19,Arbejdsark!K378,"")</f>
        <v/>
      </c>
      <c r="J113" s="41" t="s">
        <v>9</v>
      </c>
      <c r="K113" s="41"/>
    </row>
    <row r="114" spans="1:11" ht="99.4" customHeight="1" x14ac:dyDescent="0.45">
      <c r="A114" s="45" t="str">
        <f>Arbejdsark!$A$378</f>
        <v>Personsikkerhed</v>
      </c>
      <c r="B114" s="43" t="str">
        <f>Arbejdsark!$B$383</f>
        <v>1.2</v>
      </c>
      <c r="C114" s="45" t="str">
        <f>IF('Sortering af spørgsmål'!$C$23=Projektforudsætninger!$C$19,Arbejdsark!C383,"")</f>
        <v/>
      </c>
      <c r="D114" s="46"/>
      <c r="E114" s="45"/>
      <c r="F114" s="45"/>
      <c r="G114" s="45"/>
      <c r="H114" s="45"/>
      <c r="I114" s="45" t="str">
        <f>IF('Sortering af spørgsmål'!$C$23=Projektforudsætninger!$C$19,Arbejdsark!K383,"")</f>
        <v/>
      </c>
      <c r="J114" s="41" t="s">
        <v>9</v>
      </c>
      <c r="K114" s="41"/>
    </row>
    <row r="115" spans="1:11" x14ac:dyDescent="0.45">
      <c r="A115" s="45"/>
      <c r="B115" s="45"/>
      <c r="C115" s="45"/>
      <c r="D115" s="46"/>
      <c r="E115" s="45"/>
      <c r="F115" s="45"/>
      <c r="G115" s="45"/>
      <c r="H115" s="45"/>
      <c r="I115" s="45"/>
      <c r="J115" s="47"/>
      <c r="K115" s="47"/>
    </row>
    <row r="116" spans="1:11" ht="28.5" customHeight="1" x14ac:dyDescent="0.45">
      <c r="A116" s="274" t="str">
        <f>Arbejdsark!$A$388</f>
        <v>Klimaskærmens kvalitet</v>
      </c>
      <c r="B116" s="274">
        <v>2</v>
      </c>
      <c r="C116" s="274"/>
      <c r="D116" s="274"/>
      <c r="E116" s="274"/>
      <c r="F116" s="274"/>
      <c r="G116" s="274"/>
      <c r="H116" s="274"/>
      <c r="I116" s="275" t="str">
        <f>IF('Sortering af spørgsmål'!$C$24=Projektforudsætninger!$C$19,"Udfyld spørgsmål","Ingen spørgsmål")</f>
        <v>Ingen spørgsmål</v>
      </c>
      <c r="J116" s="276"/>
      <c r="K116" s="276"/>
    </row>
    <row r="117" spans="1:11" ht="113.65" customHeight="1" x14ac:dyDescent="0.45">
      <c r="A117" s="45" t="str">
        <f>Arbejdsark!$A$388</f>
        <v>Klimaskærmens kvalitet</v>
      </c>
      <c r="B117" s="43" t="str">
        <f>Arbejdsark!$B$388</f>
        <v>2.1</v>
      </c>
      <c r="C117" s="45" t="str">
        <f>IF('Sortering af spørgsmål'!$C$24=Projektforudsætninger!$C$19,Arbejdsark!C388,"")</f>
        <v/>
      </c>
      <c r="D117" s="46">
        <f>Arbejdsark!D125</f>
        <v>0</v>
      </c>
      <c r="E117" s="45">
        <f>Arbejdsark!I125</f>
        <v>0</v>
      </c>
      <c r="F117" s="45">
        <f>Arbejdsark!J125</f>
        <v>0</v>
      </c>
      <c r="G117" s="45" t="e">
        <f>Arbejdsark!#REF!</f>
        <v>#REF!</v>
      </c>
      <c r="H117" s="45" t="e">
        <f>Arbejdsark!#REF!</f>
        <v>#REF!</v>
      </c>
      <c r="I117" s="45" t="str">
        <f>IF('Sortering af spørgsmål'!$C$24=Projektforudsætninger!$C$19,Arbejdsark!K388,"")</f>
        <v/>
      </c>
      <c r="J117" s="41" t="s">
        <v>9</v>
      </c>
      <c r="K117" s="41"/>
    </row>
    <row r="118" spans="1:11" ht="113.65" customHeight="1" x14ac:dyDescent="0.45">
      <c r="A118" s="45" t="str">
        <f>Arbejdsark!$A$388</f>
        <v>Klimaskærmens kvalitet</v>
      </c>
      <c r="B118" s="43" t="str">
        <f>Arbejdsark!$B$393</f>
        <v>2.2</v>
      </c>
      <c r="C118" s="45" t="str">
        <f>IF('Sortering af spørgsmål'!$C$24=Projektforudsætninger!$C$19,Arbejdsark!C393,"")</f>
        <v/>
      </c>
      <c r="D118" s="46">
        <f>Arbejdsark!D126</f>
        <v>0</v>
      </c>
      <c r="E118" s="45">
        <f>Arbejdsark!I126</f>
        <v>0</v>
      </c>
      <c r="F118" s="45">
        <f>Arbejdsark!J126</f>
        <v>0</v>
      </c>
      <c r="G118" s="45" t="e">
        <f>Arbejdsark!#REF!</f>
        <v>#REF!</v>
      </c>
      <c r="H118" s="45" t="e">
        <f>Arbejdsark!#REF!</f>
        <v>#REF!</v>
      </c>
      <c r="I118" s="45" t="str">
        <f>IF('Sortering af spørgsmål'!$C$24=Projektforudsætninger!$C$19,Arbejdsark!K393,"")</f>
        <v/>
      </c>
      <c r="J118" s="41" t="s">
        <v>9</v>
      </c>
      <c r="K118" s="41"/>
    </row>
    <row r="119" spans="1:11" ht="113.65" customHeight="1" x14ac:dyDescent="0.45">
      <c r="A119" s="45" t="str">
        <f>Arbejdsark!$A$388</f>
        <v>Klimaskærmens kvalitet</v>
      </c>
      <c r="B119" s="43" t="str">
        <f>Arbejdsark!$B$398</f>
        <v>2.3</v>
      </c>
      <c r="C119" s="45" t="str">
        <f>IF('Sortering af spørgsmål'!$C$24=Projektforudsætninger!$C$19,Arbejdsark!C398,"")</f>
        <v/>
      </c>
      <c r="D119" s="46">
        <f>Arbejdsark!D127</f>
        <v>0</v>
      </c>
      <c r="E119" s="45">
        <f>Arbejdsark!I127</f>
        <v>0</v>
      </c>
      <c r="F119" s="45">
        <f>Arbejdsark!J127</f>
        <v>0</v>
      </c>
      <c r="G119" s="45" t="e">
        <f>Arbejdsark!#REF!</f>
        <v>#REF!</v>
      </c>
      <c r="H119" s="45" t="e">
        <f>Arbejdsark!#REF!</f>
        <v>#REF!</v>
      </c>
      <c r="I119" s="45" t="str">
        <f>IF('Sortering af spørgsmål'!$C$24=Projektforudsætninger!$C$19,Arbejdsark!K398,"")</f>
        <v/>
      </c>
      <c r="J119" s="41" t="s">
        <v>9</v>
      </c>
      <c r="K119" s="41"/>
    </row>
    <row r="120" spans="1:11" ht="141.75" customHeight="1" x14ac:dyDescent="0.45">
      <c r="A120" s="45" t="str">
        <f>Arbejdsark!$A$388</f>
        <v>Klimaskærmens kvalitet</v>
      </c>
      <c r="B120" s="43" t="str">
        <f>Arbejdsark!$B$403</f>
        <v>2.4</v>
      </c>
      <c r="C120" s="45" t="str">
        <f>IF('Sortering af spørgsmål'!$C$24=Projektforudsætninger!$C$19,Arbejdsark!C403,"")</f>
        <v/>
      </c>
      <c r="D120" s="46">
        <f>Arbejdsark!D128</f>
        <v>0</v>
      </c>
      <c r="E120" s="45">
        <f>Arbejdsark!I128</f>
        <v>0</v>
      </c>
      <c r="F120" s="45">
        <f>Arbejdsark!J128</f>
        <v>0</v>
      </c>
      <c r="G120" s="45" t="e">
        <f>Arbejdsark!#REF!</f>
        <v>#REF!</v>
      </c>
      <c r="H120" s="45" t="e">
        <f>Arbejdsark!#REF!</f>
        <v>#REF!</v>
      </c>
      <c r="I120" s="45" t="str">
        <f>IF('Sortering af spørgsmål'!$C$24=Projektforudsætninger!$C$19,Arbejdsark!K403,"")</f>
        <v/>
      </c>
      <c r="J120" s="41" t="s">
        <v>9</v>
      </c>
      <c r="K120" s="41"/>
    </row>
    <row r="121" spans="1:11" ht="56.85" customHeight="1" x14ac:dyDescent="0.45">
      <c r="A121" s="45" t="str">
        <f>Arbejdsark!$A$388</f>
        <v>Klimaskærmens kvalitet</v>
      </c>
      <c r="B121" s="43" t="str">
        <f>Arbejdsark!$B$408</f>
        <v>2.5</v>
      </c>
      <c r="C121" s="45" t="str">
        <f>IF('Sortering af spørgsmål'!$C$24=Projektforudsætninger!$C$19,Arbejdsark!C408,"")</f>
        <v/>
      </c>
      <c r="D121" s="46"/>
      <c r="E121" s="45"/>
      <c r="F121" s="45"/>
      <c r="G121" s="45"/>
      <c r="H121" s="45"/>
      <c r="I121" s="45" t="str">
        <f>IF('Sortering af spørgsmål'!$C$24=Projektforudsætninger!$C$19,Arbejdsark!K408,"")</f>
        <v/>
      </c>
      <c r="J121" s="41" t="s">
        <v>9</v>
      </c>
      <c r="K121" s="41"/>
    </row>
    <row r="122" spans="1:11" ht="85.15" customHeight="1" x14ac:dyDescent="0.45">
      <c r="A122" s="45" t="str">
        <f>Arbejdsark!$A$388</f>
        <v>Klimaskærmens kvalitet</v>
      </c>
      <c r="B122" s="43" t="str">
        <f>Arbejdsark!$B$413</f>
        <v>2.6</v>
      </c>
      <c r="C122" s="45" t="str">
        <f>IF('Sortering af spørgsmål'!$C$24=Projektforudsætninger!$C$19,Arbejdsark!C413,"")</f>
        <v/>
      </c>
      <c r="D122" s="46" t="str">
        <f>Arbejdsark!D129</f>
        <v>ECO2.1
Vægtning: ECO2.1 pkt 5</v>
      </c>
      <c r="E122" s="45" t="str">
        <f>Arbejdsark!I129</f>
        <v>x</v>
      </c>
      <c r="F122" s="45">
        <f>Arbejdsark!J129</f>
        <v>0</v>
      </c>
      <c r="G122" s="45" t="e">
        <f>Arbejdsark!#REF!</f>
        <v>#REF!</v>
      </c>
      <c r="H122" s="45" t="e">
        <f>Arbejdsark!#REF!</f>
        <v>#REF!</v>
      </c>
      <c r="I122" s="45" t="str">
        <f>IF('Sortering af spørgsmål'!$C$24=Projektforudsætninger!$C$19,Arbejdsark!K413,"")</f>
        <v/>
      </c>
      <c r="J122" s="41" t="s">
        <v>9</v>
      </c>
      <c r="K122" s="41"/>
    </row>
    <row r="123" spans="1:11" ht="85.15" customHeight="1" x14ac:dyDescent="0.45">
      <c r="A123" s="45" t="str">
        <f>Arbejdsark!$A$388</f>
        <v>Klimaskærmens kvalitet</v>
      </c>
      <c r="B123" s="43" t="str">
        <f>Arbejdsark!$B$418</f>
        <v>2.7</v>
      </c>
      <c r="C123" s="45" t="str">
        <f>IF('Sortering af spørgsmål'!$C$24=Projektforudsætninger!$C$19,Arbejdsark!C418,"")</f>
        <v/>
      </c>
      <c r="D123" s="46">
        <f>Arbejdsark!D130</f>
        <v>0</v>
      </c>
      <c r="E123" s="45">
        <f>Arbejdsark!I130</f>
        <v>0</v>
      </c>
      <c r="F123" s="45">
        <f>Arbejdsark!J130</f>
        <v>0</v>
      </c>
      <c r="G123" s="45" t="e">
        <f>Arbejdsark!#REF!</f>
        <v>#REF!</v>
      </c>
      <c r="H123" s="45" t="e">
        <f>Arbejdsark!#REF!</f>
        <v>#REF!</v>
      </c>
      <c r="I123" s="45" t="str">
        <f>IF('Sortering af spørgsmål'!$C$24=Projektforudsætninger!$C$19,Arbejdsark!K418,"")</f>
        <v/>
      </c>
      <c r="J123" s="41" t="s">
        <v>9</v>
      </c>
      <c r="K123" s="41"/>
    </row>
    <row r="124" spans="1:11" x14ac:dyDescent="0.45">
      <c r="A124" s="45"/>
      <c r="B124" s="45"/>
      <c r="C124" s="45"/>
      <c r="D124" s="46"/>
      <c r="E124" s="45"/>
      <c r="F124" s="45"/>
      <c r="G124" s="45"/>
      <c r="H124" s="45"/>
      <c r="I124" s="45"/>
      <c r="J124" s="47"/>
      <c r="K124" s="47"/>
    </row>
    <row r="125" spans="1:11" ht="28.5" customHeight="1" x14ac:dyDescent="0.45">
      <c r="A125" s="274" t="str">
        <f>Arbejdsark!$A$424</f>
        <v>Renhold og vedligehold</v>
      </c>
      <c r="B125" s="274">
        <v>3</v>
      </c>
      <c r="C125" s="274"/>
      <c r="D125" s="274"/>
      <c r="E125" s="274"/>
      <c r="F125" s="274"/>
      <c r="G125" s="274"/>
      <c r="H125" s="274"/>
      <c r="I125" s="275" t="str">
        <f>IF('Sortering af spørgsmål'!$C$25=Projektforudsætninger!$C$19,"Udfyld spørgsmål","Ingen spørgsmål")</f>
        <v>Ingen spørgsmål</v>
      </c>
      <c r="J125" s="276"/>
      <c r="K125" s="276"/>
    </row>
    <row r="126" spans="1:11" ht="113.65" customHeight="1" x14ac:dyDescent="0.45">
      <c r="A126" s="45" t="str">
        <f>Arbejdsark!$A$424</f>
        <v>Renhold og vedligehold</v>
      </c>
      <c r="B126" s="43" t="str">
        <f>Arbejdsark!$B$424</f>
        <v>3.1</v>
      </c>
      <c r="C126" s="45" t="str">
        <f>IF('Sortering af spørgsmål'!$C$25=Projektforudsætninger!$C$19,Arbejdsark!C424,"")</f>
        <v/>
      </c>
      <c r="D126" s="46" t="str">
        <f>Arbejdsark!D134</f>
        <v>ECO2.1
Vægtning: 75% af ECO2.1 pkt 6</v>
      </c>
      <c r="E126" s="45" t="str">
        <f>Arbejdsark!I134</f>
        <v>x</v>
      </c>
      <c r="F126" s="45">
        <f>Arbejdsark!J134</f>
        <v>0</v>
      </c>
      <c r="G126" s="45" t="e">
        <f>Arbejdsark!#REF!</f>
        <v>#REF!</v>
      </c>
      <c r="H126" s="45" t="e">
        <f>Arbejdsark!#REF!</f>
        <v>#REF!</v>
      </c>
      <c r="I126" s="45" t="str">
        <f>IF('Sortering af spørgsmål'!$C$25=Projektforudsætninger!$C$19,Arbejdsark!K424,"")</f>
        <v/>
      </c>
      <c r="J126" s="41" t="s">
        <v>9</v>
      </c>
      <c r="K126" s="41"/>
    </row>
    <row r="127" spans="1:11" ht="113.65" customHeight="1" x14ac:dyDescent="0.45">
      <c r="A127" s="45" t="str">
        <f>Arbejdsark!$A$424</f>
        <v>Renhold og vedligehold</v>
      </c>
      <c r="B127" s="43" t="str">
        <f>Arbejdsark!$B$429</f>
        <v>3.2</v>
      </c>
      <c r="C127" s="45" t="str">
        <f>IF('Sortering af spørgsmål'!$C$25=Projektforudsætninger!$C$19,Arbejdsark!C429,"")</f>
        <v/>
      </c>
      <c r="D127" s="46">
        <f>Arbejdsark!D135</f>
        <v>0</v>
      </c>
      <c r="E127" s="45">
        <f>Arbejdsark!I135</f>
        <v>0</v>
      </c>
      <c r="F127" s="45">
        <f>Arbejdsark!J135</f>
        <v>0</v>
      </c>
      <c r="G127" s="45" t="e">
        <f>Arbejdsark!#REF!</f>
        <v>#REF!</v>
      </c>
      <c r="H127" s="45" t="e">
        <f>Arbejdsark!#REF!</f>
        <v>#REF!</v>
      </c>
      <c r="I127" s="45" t="str">
        <f>IF('Sortering af spørgsmål'!$C$25=Projektforudsætninger!$C$19,Arbejdsark!K429,"")</f>
        <v/>
      </c>
      <c r="J127" s="41" t="s">
        <v>9</v>
      </c>
      <c r="K127" s="41"/>
    </row>
    <row r="128" spans="1:11" ht="156" customHeight="1" x14ac:dyDescent="0.45">
      <c r="A128" s="45" t="str">
        <f>Arbejdsark!$A$424</f>
        <v>Renhold og vedligehold</v>
      </c>
      <c r="B128" s="43" t="str">
        <f>Arbejdsark!$B$434</f>
        <v>3.3</v>
      </c>
      <c r="C128" s="45" t="str">
        <f>IF('Sortering af spørgsmål'!$C$25=Projektforudsætninger!$C$19,Arbejdsark!C434,"")</f>
        <v/>
      </c>
      <c r="D128" s="46">
        <f>Arbejdsark!D136</f>
        <v>0</v>
      </c>
      <c r="E128" s="45">
        <f>Arbejdsark!I136</f>
        <v>0</v>
      </c>
      <c r="F128" s="45">
        <f>Arbejdsark!J136</f>
        <v>0</v>
      </c>
      <c r="G128" s="45" t="e">
        <f>Arbejdsark!#REF!</f>
        <v>#REF!</v>
      </c>
      <c r="H128" s="45" t="e">
        <f>Arbejdsark!#REF!</f>
        <v>#REF!</v>
      </c>
      <c r="I128" s="45" t="str">
        <f>IF('Sortering af spørgsmål'!$C$25=Projektforudsætninger!$C$19,Arbejdsark!K434,"")</f>
        <v/>
      </c>
      <c r="J128" s="41" t="s">
        <v>9</v>
      </c>
      <c r="K128" s="41"/>
    </row>
    <row r="129" spans="1:11" ht="99.4" customHeight="1" x14ac:dyDescent="0.45">
      <c r="A129" s="45" t="str">
        <f>Arbejdsark!$A$424</f>
        <v>Renhold og vedligehold</v>
      </c>
      <c r="B129" s="43" t="str">
        <f>Arbejdsark!$B$439</f>
        <v>3.4</v>
      </c>
      <c r="C129" s="45" t="str">
        <f>IF('Sortering af spørgsmål'!$C$25=Projektforudsætninger!$C$19,Arbejdsark!C439,"")</f>
        <v/>
      </c>
      <c r="D129" s="46">
        <f>Arbejdsark!D137</f>
        <v>0</v>
      </c>
      <c r="E129" s="45">
        <f>Arbejdsark!I137</f>
        <v>0</v>
      </c>
      <c r="F129" s="45">
        <f>Arbejdsark!J137</f>
        <v>0</v>
      </c>
      <c r="G129" s="45" t="e">
        <f>Arbejdsark!#REF!</f>
        <v>#REF!</v>
      </c>
      <c r="H129" s="45" t="e">
        <f>Arbejdsark!#REF!</f>
        <v>#REF!</v>
      </c>
      <c r="I129" s="45" t="str">
        <f>IF('Sortering af spørgsmål'!$C$25=Projektforudsætninger!$C$19,Arbejdsark!K439,"")</f>
        <v/>
      </c>
      <c r="J129" s="41" t="s">
        <v>9</v>
      </c>
      <c r="K129" s="41"/>
    </row>
    <row r="130" spans="1:11" ht="141.75" customHeight="1" x14ac:dyDescent="0.45">
      <c r="A130" s="45" t="str">
        <f>Arbejdsark!$A$424</f>
        <v>Renhold og vedligehold</v>
      </c>
      <c r="B130" s="43" t="str">
        <f>Arbejdsark!$B$444</f>
        <v>3.5</v>
      </c>
      <c r="C130" s="45" t="str">
        <f>IF('Sortering af spørgsmål'!$C$25=Projektforudsætninger!$C$19,Arbejdsark!C444,"")</f>
        <v/>
      </c>
      <c r="D130" s="46">
        <f>Arbejdsark!D138</f>
        <v>0</v>
      </c>
      <c r="E130" s="45">
        <f>Arbejdsark!I138</f>
        <v>0</v>
      </c>
      <c r="F130" s="45">
        <f>Arbejdsark!J138</f>
        <v>0</v>
      </c>
      <c r="G130" s="45" t="e">
        <f>Arbejdsark!#REF!</f>
        <v>#REF!</v>
      </c>
      <c r="H130" s="45" t="e">
        <f>Arbejdsark!#REF!</f>
        <v>#REF!</v>
      </c>
      <c r="I130" s="45" t="str">
        <f>IF('Sortering af spørgsmål'!$C$25=Projektforudsætninger!$C$19,Arbejdsark!K444,"")</f>
        <v/>
      </c>
      <c r="J130" s="41" t="s">
        <v>9</v>
      </c>
      <c r="K130" s="41"/>
    </row>
    <row r="131" spans="1:11" ht="34.9" x14ac:dyDescent="0.45">
      <c r="A131" s="45" t="str">
        <f>Arbejdsark!$A$424</f>
        <v>Renhold og vedligehold</v>
      </c>
      <c r="B131" s="43" t="str">
        <f>Arbejdsark!$B$449</f>
        <v>3.6</v>
      </c>
      <c r="C131" s="45" t="str">
        <f>IF('Sortering af spørgsmål'!$C$25=Projektforudsætninger!$C$19,Arbejdsark!C449,"")</f>
        <v/>
      </c>
      <c r="D131" s="46" t="str">
        <f>Arbejdsark!D139</f>
        <v>ECO2.1 + TEC1.4
Vægtning: ECO2.1 pkt. 7.1, 7.2 og 7.3 + TEC1.4 pkt. 1.1, 1.2 og 1.3</v>
      </c>
      <c r="E131" s="45" t="str">
        <f>Arbejdsark!I139</f>
        <v>x</v>
      </c>
      <c r="F131" s="45">
        <f>Arbejdsark!J139</f>
        <v>0</v>
      </c>
      <c r="G131" s="45" t="e">
        <f>Arbejdsark!#REF!</f>
        <v>#REF!</v>
      </c>
      <c r="H131" s="45" t="e">
        <f>Arbejdsark!#REF!</f>
        <v>#REF!</v>
      </c>
      <c r="I131" s="45" t="str">
        <f>IF('Sortering af spørgsmål'!$C$25=Projektforudsætninger!$C$19,Arbejdsark!K449,"")</f>
        <v/>
      </c>
      <c r="J131" s="41" t="s">
        <v>9</v>
      </c>
      <c r="K131" s="41"/>
    </row>
    <row r="132" spans="1:11" x14ac:dyDescent="0.45">
      <c r="A132" s="323" t="str">
        <f>Arbejdsark!$A$455</f>
        <v>Idriftsættelse</v>
      </c>
      <c r="B132" s="313">
        <v>4</v>
      </c>
      <c r="C132" s="323"/>
      <c r="D132" s="323"/>
      <c r="E132" s="323"/>
      <c r="F132" s="323"/>
      <c r="G132" s="323"/>
      <c r="H132" s="323"/>
      <c r="I132" s="313" t="str">
        <f>IF('Sortering af spørgsmål'!$C$33=Projektforudsætninger!$C$19,"Udfyld spørgsmål","Ingen spørgsmål")</f>
        <v>Ingen spørgsmål</v>
      </c>
      <c r="J132" s="314"/>
      <c r="K132" s="314"/>
    </row>
    <row r="133" spans="1:11" ht="23.25" x14ac:dyDescent="0.45">
      <c r="A133" s="45" t="str">
        <f>Arbejdsark!$A$455</f>
        <v>Idriftsættelse</v>
      </c>
      <c r="B133" s="327" t="str">
        <f>Arbejdsark!$B$455</f>
        <v>4.1</v>
      </c>
      <c r="C133" s="45" t="str">
        <f>IF('Sortering af spørgsmål'!$C$33=Projektforudsætninger!$C$19,Arbejdsark!C455,"")</f>
        <v/>
      </c>
      <c r="D133" s="46" t="str">
        <f>Arbejdsark!D167</f>
        <v>SOC1.1
Vægtning: SOC1.1 pkt. 1 + 4</v>
      </c>
      <c r="E133" s="45" t="str">
        <f>Arbejdsark!I167</f>
        <v>x</v>
      </c>
      <c r="F133" s="45">
        <f>Arbejdsark!J167</f>
        <v>0</v>
      </c>
      <c r="G133" s="45" t="e">
        <f>Arbejdsark!#REF!</f>
        <v>#REF!</v>
      </c>
      <c r="H133" s="45" t="e">
        <f>Arbejdsark!#REF!</f>
        <v>#REF!</v>
      </c>
      <c r="I133" s="45" t="str">
        <f>IF('Sortering af spørgsmål'!$C$33=Projektforudsætninger!$C$19,Arbejdsark!K455,"")</f>
        <v/>
      </c>
      <c r="J133" s="41" t="s">
        <v>9</v>
      </c>
      <c r="K133" s="41"/>
    </row>
    <row r="134" spans="1:11" x14ac:dyDescent="0.45">
      <c r="A134" s="45"/>
      <c r="B134" s="319"/>
      <c r="C134" s="45"/>
      <c r="D134" s="46"/>
      <c r="E134" s="45"/>
      <c r="F134" s="45"/>
      <c r="G134" s="45"/>
      <c r="H134" s="45"/>
      <c r="I134" s="45"/>
      <c r="J134" s="47"/>
      <c r="K134" s="47"/>
    </row>
    <row r="135" spans="1:11" ht="28.5" customHeight="1" x14ac:dyDescent="0.45">
      <c r="A135" s="62" t="str">
        <f>Arbejdsark!$A$460</f>
        <v>PROCES KVALITET</v>
      </c>
      <c r="B135" s="328"/>
      <c r="C135" s="62"/>
      <c r="D135" s="62"/>
      <c r="E135" s="62"/>
      <c r="F135" s="62"/>
      <c r="G135" s="62"/>
      <c r="H135" s="62"/>
      <c r="I135" s="63"/>
      <c r="J135" s="64"/>
      <c r="K135" s="64"/>
    </row>
    <row r="136" spans="1:11" ht="28.5" customHeight="1" x14ac:dyDescent="0.45">
      <c r="A136" s="58" t="str">
        <f>$A$4</f>
        <v>Tema</v>
      </c>
      <c r="B136" s="319" t="str">
        <f>B4</f>
        <v>ID</v>
      </c>
      <c r="C136" s="58" t="str">
        <f>$C$4</f>
        <v>Emne</v>
      </c>
      <c r="D136" s="58" t="str">
        <f>D4</f>
        <v>DGNB kriterium</v>
      </c>
      <c r="E136" s="58" t="str">
        <f>E4</f>
        <v>Byggeudvalg eller Hovedbestyrelse</v>
      </c>
      <c r="F136" s="58" t="str">
        <f>F4</f>
        <v>Projektleder</v>
      </c>
      <c r="G136" s="58" t="str">
        <f>G4</f>
        <v>#REFERENCE!</v>
      </c>
      <c r="H136" s="58" t="str">
        <f>H4</f>
        <v>Ikon</v>
      </c>
      <c r="I136" s="58" t="str">
        <f>$I$4</f>
        <v>Spørgsmål</v>
      </c>
      <c r="J136" s="59" t="str">
        <f>$J$4</f>
        <v>Svar</v>
      </c>
      <c r="K136" s="59" t="str">
        <f>$K$4</f>
        <v>Uddybende kommentarer</v>
      </c>
    </row>
    <row r="137" spans="1:11" ht="28.5" customHeight="1" x14ac:dyDescent="0.45">
      <c r="A137" s="62" t="str">
        <f>Arbejdsark!$A$462</f>
        <v>Byggeprogram</v>
      </c>
      <c r="B137" s="328">
        <v>1</v>
      </c>
      <c r="C137" s="62"/>
      <c r="D137" s="62"/>
      <c r="E137" s="62"/>
      <c r="F137" s="62"/>
      <c r="G137" s="62"/>
      <c r="H137" s="62"/>
      <c r="I137" s="63" t="str">
        <f>IF('Sortering af spørgsmål'!$C$26=Projektforudsætninger!$C$19,"Udfyld spørgsmål","Ingen spørgsmål")</f>
        <v>Ingen spørgsmål</v>
      </c>
      <c r="J137" s="64"/>
      <c r="K137" s="64"/>
    </row>
    <row r="138" spans="1:11" ht="113.65" customHeight="1" x14ac:dyDescent="0.45">
      <c r="A138" s="45" t="str">
        <f>Arbejdsark!$A$462</f>
        <v>Byggeprogram</v>
      </c>
      <c r="B138" s="327" t="str">
        <f>Arbejdsark!$B$462</f>
        <v>1.1</v>
      </c>
      <c r="C138" s="45" t="str">
        <f>IF('Sortering af spørgsmål'!$C$26=Projektforudsætninger!$C$19,Arbejdsark!C462,"")</f>
        <v/>
      </c>
      <c r="D138" s="46">
        <f>Arbejdsark!D145</f>
        <v>0</v>
      </c>
      <c r="E138" s="45">
        <f>Arbejdsark!I145</f>
        <v>0</v>
      </c>
      <c r="F138" s="45">
        <f>Arbejdsark!J145</f>
        <v>0</v>
      </c>
      <c r="G138" s="45" t="e">
        <f>Arbejdsark!#REF!</f>
        <v>#REF!</v>
      </c>
      <c r="H138" s="45" t="e">
        <f>Arbejdsark!#REF!</f>
        <v>#REF!</v>
      </c>
      <c r="I138" s="45" t="str">
        <f>IF('Sortering af spørgsmål'!$C$26=Projektforudsætninger!$C$19,Arbejdsark!K462,"")</f>
        <v/>
      </c>
      <c r="J138" s="41" t="s">
        <v>9</v>
      </c>
      <c r="K138" s="41"/>
    </row>
    <row r="139" spans="1:11" x14ac:dyDescent="0.45">
      <c r="A139" s="45"/>
      <c r="B139" s="319"/>
      <c r="C139" s="45"/>
      <c r="D139" s="46"/>
      <c r="E139" s="45"/>
      <c r="F139" s="45"/>
      <c r="G139" s="45"/>
      <c r="H139" s="45"/>
      <c r="I139" s="45"/>
      <c r="J139" s="47"/>
      <c r="K139" s="47"/>
    </row>
    <row r="140" spans="1:11" ht="28.5" customHeight="1" x14ac:dyDescent="0.45">
      <c r="A140" s="62" t="str">
        <f>Arbejdsark!$A$467</f>
        <v>Integreret designproces</v>
      </c>
      <c r="B140" s="328">
        <v>2</v>
      </c>
      <c r="C140" s="62"/>
      <c r="D140" s="62"/>
      <c r="E140" s="62"/>
      <c r="F140" s="62"/>
      <c r="G140" s="62"/>
      <c r="H140" s="62"/>
      <c r="I140" s="63" t="str">
        <f>IF('Sortering af spørgsmål'!$C$27=Projektforudsætninger!$C$19,"Udfyld spørgsmål","Ingen spørgsmål")</f>
        <v>Ingen spørgsmål</v>
      </c>
      <c r="J140" s="64"/>
      <c r="K140" s="64"/>
    </row>
    <row r="141" spans="1:11" ht="70.900000000000006" customHeight="1" x14ac:dyDescent="0.45">
      <c r="A141" s="45" t="str">
        <f>Arbejdsark!$A$467</f>
        <v>Integreret designproces</v>
      </c>
      <c r="B141" s="327" t="str">
        <f>Arbejdsark!$B$467</f>
        <v>2.1</v>
      </c>
      <c r="C141" s="45" t="str">
        <f>IF('Sortering af spørgsmål'!$C$27=Projektforudsætninger!$C$19,Arbejdsark!C467,"")</f>
        <v/>
      </c>
      <c r="D141" s="46">
        <f>Arbejdsark!D147</f>
        <v>0</v>
      </c>
      <c r="E141" s="45">
        <f>Arbejdsark!I147</f>
        <v>0</v>
      </c>
      <c r="F141" s="45">
        <f>Arbejdsark!J147</f>
        <v>0</v>
      </c>
      <c r="G141" s="45" t="e">
        <f>Arbejdsark!#REF!</f>
        <v>#REF!</v>
      </c>
      <c r="H141" s="45" t="e">
        <f>Arbejdsark!#REF!</f>
        <v>#REF!</v>
      </c>
      <c r="I141" s="45" t="str">
        <f>IF('Sortering af spørgsmål'!$C$27=Projektforudsætninger!$C$19,Arbejdsark!K467,"")</f>
        <v/>
      </c>
      <c r="J141" s="41" t="s">
        <v>9</v>
      </c>
      <c r="K141" s="41"/>
    </row>
    <row r="142" spans="1:11" ht="113.65" customHeight="1" x14ac:dyDescent="0.45">
      <c r="A142" s="45" t="str">
        <f>Arbejdsark!$A$467</f>
        <v>Integreret designproces</v>
      </c>
      <c r="B142" s="327" t="str">
        <f>Arbejdsark!$B$472</f>
        <v>2.2</v>
      </c>
      <c r="C142" s="45" t="str">
        <f>IF('Sortering af spørgsmål'!$C$27=Projektforudsætninger!$C$19,Arbejdsark!C472,"")</f>
        <v/>
      </c>
      <c r="D142" s="46">
        <f>Arbejdsark!D148</f>
        <v>0</v>
      </c>
      <c r="E142" s="45">
        <f>Arbejdsark!I148</f>
        <v>0</v>
      </c>
      <c r="F142" s="45">
        <f>Arbejdsark!J148</f>
        <v>0</v>
      </c>
      <c r="G142" s="45" t="e">
        <f>Arbejdsark!#REF!</f>
        <v>#REF!</v>
      </c>
      <c r="H142" s="45" t="e">
        <f>Arbejdsark!#REF!</f>
        <v>#REF!</v>
      </c>
      <c r="I142" s="45" t="str">
        <f>IF('Sortering af spørgsmål'!$C$27=Projektforudsætninger!$C$19,Arbejdsark!K472,"")</f>
        <v/>
      </c>
      <c r="J142" s="41" t="s">
        <v>9</v>
      </c>
      <c r="K142" s="41"/>
    </row>
    <row r="143" spans="1:11" ht="85.15" customHeight="1" x14ac:dyDescent="0.45">
      <c r="A143" s="45" t="str">
        <f>Arbejdsark!$A$467</f>
        <v>Integreret designproces</v>
      </c>
      <c r="B143" s="327" t="str">
        <f>Arbejdsark!$B$477</f>
        <v>2.3</v>
      </c>
      <c r="C143" s="45" t="str">
        <f>IF('Sortering af spørgsmål'!$C$27=Projektforudsætninger!$C$19,Arbejdsark!C477,"")</f>
        <v/>
      </c>
      <c r="D143" s="46" t="str">
        <f>Arbejdsark!D149</f>
        <v>ECO2.1
Vægtning: 25 % af ECO2.1 pkt. 6</v>
      </c>
      <c r="E143" s="45" t="str">
        <f>Arbejdsark!I149</f>
        <v>x</v>
      </c>
      <c r="F143" s="45">
        <f>Arbejdsark!J149</f>
        <v>0</v>
      </c>
      <c r="G143" s="45" t="e">
        <f>Arbejdsark!#REF!</f>
        <v>#REF!</v>
      </c>
      <c r="H143" s="45" t="e">
        <f>Arbejdsark!#REF!</f>
        <v>#REF!</v>
      </c>
      <c r="I143" s="45" t="str">
        <f>IF('Sortering af spørgsmål'!$C$27=Projektforudsætninger!$C$19,Arbejdsark!K477,"")</f>
        <v/>
      </c>
      <c r="J143" s="41" t="s">
        <v>9</v>
      </c>
      <c r="K143" s="41"/>
    </row>
    <row r="144" spans="1:11" ht="85.15" customHeight="1" x14ac:dyDescent="0.45">
      <c r="A144" s="45" t="str">
        <f>Arbejdsark!$A$467</f>
        <v>Integreret designproces</v>
      </c>
      <c r="B144" s="327" t="str">
        <f>Arbejdsark!$B$482</f>
        <v>2.4</v>
      </c>
      <c r="C144" s="45" t="str">
        <f>IF('Sortering af spørgsmål'!$C$27=Projektforudsætninger!$C$19,Arbejdsark!C482,"")</f>
        <v/>
      </c>
      <c r="D144" s="46">
        <f>Arbejdsark!D150</f>
        <v>0</v>
      </c>
      <c r="E144" s="45">
        <f>Arbejdsark!I150</f>
        <v>0</v>
      </c>
      <c r="F144" s="45">
        <f>Arbejdsark!J150</f>
        <v>0</v>
      </c>
      <c r="G144" s="45" t="e">
        <f>Arbejdsark!#REF!</f>
        <v>#REF!</v>
      </c>
      <c r="H144" s="45" t="e">
        <f>Arbejdsark!#REF!</f>
        <v>#REF!</v>
      </c>
      <c r="I144" s="45" t="str">
        <f>IF('Sortering af spørgsmål'!$C$27=Projektforudsætninger!$C$19,Arbejdsark!K482,"")</f>
        <v/>
      </c>
      <c r="J144" s="41" t="s">
        <v>9</v>
      </c>
      <c r="K144" s="41"/>
    </row>
    <row r="145" spans="1:11" ht="85.15" customHeight="1" x14ac:dyDescent="0.45">
      <c r="A145" s="45" t="str">
        <f>Arbejdsark!$A$467</f>
        <v>Integreret designproces</v>
      </c>
      <c r="B145" s="327" t="str">
        <f>Arbejdsark!$B$487</f>
        <v>2.5</v>
      </c>
      <c r="C145" s="45" t="str">
        <f>IF('Sortering af spørgsmål'!$C$27=Projektforudsætninger!$C$19,Arbejdsark!C487,"")</f>
        <v/>
      </c>
      <c r="D145" s="46">
        <f>Arbejdsark!D151</f>
        <v>0</v>
      </c>
      <c r="E145" s="45">
        <f>Arbejdsark!I151</f>
        <v>0</v>
      </c>
      <c r="F145" s="45">
        <f>Arbejdsark!J151</f>
        <v>0</v>
      </c>
      <c r="G145" s="45" t="e">
        <f>Arbejdsark!#REF!</f>
        <v>#REF!</v>
      </c>
      <c r="H145" s="45" t="e">
        <f>Arbejdsark!#REF!</f>
        <v>#REF!</v>
      </c>
      <c r="I145" s="45" t="str">
        <f>IF('Sortering af spørgsmål'!$C$27=Projektforudsætninger!$C$19,Arbejdsark!K487,"")</f>
        <v/>
      </c>
      <c r="J145" s="41" t="s">
        <v>9</v>
      </c>
      <c r="K145" s="41"/>
    </row>
    <row r="146" spans="1:11" x14ac:dyDescent="0.45">
      <c r="A146" s="45"/>
      <c r="B146" s="319"/>
      <c r="C146" s="45"/>
      <c r="D146" s="46"/>
      <c r="E146" s="45"/>
      <c r="F146" s="45"/>
      <c r="G146" s="45"/>
      <c r="H146" s="45"/>
      <c r="I146" s="45"/>
      <c r="J146" s="47"/>
      <c r="K146" s="47"/>
    </row>
    <row r="147" spans="1:11" ht="28.5" customHeight="1" x14ac:dyDescent="0.45">
      <c r="A147" s="62" t="str">
        <f>Arbejdsark!$A$492</f>
        <v>Koncepter</v>
      </c>
      <c r="B147" s="328">
        <v>3</v>
      </c>
      <c r="C147" s="62"/>
      <c r="D147" s="62"/>
      <c r="E147" s="62"/>
      <c r="F147" s="62"/>
      <c r="G147" s="62"/>
      <c r="H147" s="62"/>
      <c r="I147" s="63" t="str">
        <f>IF('Sortering af spørgsmål'!$C$28=Projektforudsætninger!$C$19,"Udfyld spørgsmål","Ingen spørgsmål")</f>
        <v>Ingen spørgsmål</v>
      </c>
      <c r="J147" s="64"/>
      <c r="K147" s="64"/>
    </row>
    <row r="148" spans="1:11" ht="170.25" customHeight="1" x14ac:dyDescent="0.45">
      <c r="A148" s="45" t="str">
        <f>Arbejdsark!$A$492</f>
        <v>Koncepter</v>
      </c>
      <c r="B148" s="327" t="str">
        <f>Arbejdsark!$B$492</f>
        <v>3.1</v>
      </c>
      <c r="C148" s="45" t="str">
        <f>IF('Sortering af spørgsmål'!$C$28=Projektforudsætninger!$C$19,Arbejdsark!C492,"")</f>
        <v/>
      </c>
      <c r="D148" s="46">
        <f>Arbejdsark!D152</f>
        <v>0</v>
      </c>
      <c r="E148" s="45">
        <f>Arbejdsark!I152</f>
        <v>0</v>
      </c>
      <c r="F148" s="45">
        <f>Arbejdsark!J152</f>
        <v>0</v>
      </c>
      <c r="G148" s="45" t="e">
        <f>Arbejdsark!#REF!</f>
        <v>#REF!</v>
      </c>
      <c r="H148" s="45" t="e">
        <f>Arbejdsark!#REF!</f>
        <v>#REF!</v>
      </c>
      <c r="I148" s="45" t="str">
        <f>IF('Sortering af spørgsmål'!$C$28=Projektforudsætninger!$C$19,Arbejdsark!K492,"")</f>
        <v/>
      </c>
      <c r="J148" s="41" t="s">
        <v>9</v>
      </c>
      <c r="K148" s="41"/>
    </row>
    <row r="149" spans="1:11" x14ac:dyDescent="0.45">
      <c r="A149" s="45"/>
      <c r="B149" s="319"/>
      <c r="C149" s="45"/>
      <c r="D149" s="46"/>
      <c r="E149" s="45"/>
      <c r="F149" s="45"/>
      <c r="G149" s="45"/>
      <c r="H149" s="45"/>
      <c r="I149" s="45"/>
      <c r="J149" s="47"/>
      <c r="K149" s="47"/>
    </row>
    <row r="150" spans="1:11" ht="28.5" customHeight="1" x14ac:dyDescent="0.45">
      <c r="A150" s="62" t="str">
        <f>Arbejdsark!$A$497</f>
        <v>Entrepriseudbud</v>
      </c>
      <c r="B150" s="328">
        <v>4</v>
      </c>
      <c r="C150" s="62"/>
      <c r="D150" s="62"/>
      <c r="E150" s="62"/>
      <c r="F150" s="62"/>
      <c r="G150" s="62"/>
      <c r="H150" s="62"/>
      <c r="I150" s="63" t="str">
        <f>IF('Sortering af spørgsmål'!$C$29=Projektforudsætninger!$C$19,"Udfyld spørgsmål","Ingen spørgsmål")</f>
        <v>Ingen spørgsmål</v>
      </c>
      <c r="J150" s="64"/>
      <c r="K150" s="64"/>
    </row>
    <row r="151" spans="1:11" ht="85.15" customHeight="1" x14ac:dyDescent="0.45">
      <c r="A151" s="45" t="str">
        <f>Arbejdsark!$A$497</f>
        <v>Entrepriseudbud</v>
      </c>
      <c r="B151" s="327" t="str">
        <f>Arbejdsark!$B$497</f>
        <v>4.1</v>
      </c>
      <c r="C151" s="45" t="str">
        <f>IF('Sortering af spørgsmål'!$C$29=Projektforudsætninger!$C$19,Arbejdsark!C497,"")</f>
        <v/>
      </c>
      <c r="D151" s="46">
        <f>Arbejdsark!D157</f>
        <v>0</v>
      </c>
      <c r="E151" s="45">
        <f>Arbejdsark!I157</f>
        <v>0</v>
      </c>
      <c r="F151" s="45">
        <f>Arbejdsark!J157</f>
        <v>0</v>
      </c>
      <c r="G151" s="45" t="e">
        <f>Arbejdsark!#REF!</f>
        <v>#REF!</v>
      </c>
      <c r="H151" s="45" t="e">
        <f>Arbejdsark!#REF!</f>
        <v>#REF!</v>
      </c>
      <c r="I151" s="45" t="str">
        <f>IF('Sortering af spørgsmål'!$C$29=Projektforudsætninger!$C$19,Arbejdsark!K497,"")</f>
        <v/>
      </c>
      <c r="J151" s="41" t="s">
        <v>9</v>
      </c>
      <c r="K151" s="41"/>
    </row>
    <row r="152" spans="1:11" x14ac:dyDescent="0.45">
      <c r="A152" s="45"/>
      <c r="B152" s="319"/>
      <c r="C152" s="45"/>
      <c r="D152" s="46"/>
      <c r="E152" s="45"/>
      <c r="F152" s="45"/>
      <c r="G152" s="45"/>
      <c r="H152" s="45"/>
      <c r="I152" s="45"/>
      <c r="J152" s="47"/>
      <c r="K152" s="47"/>
    </row>
    <row r="153" spans="1:11" ht="28.5" x14ac:dyDescent="0.45">
      <c r="A153" s="62" t="str">
        <f>Arbejdsark!$A$502</f>
        <v>Kvalitet af aflevering til driftspersonale</v>
      </c>
      <c r="B153" s="328">
        <v>5</v>
      </c>
      <c r="C153" s="62"/>
      <c r="D153" s="62"/>
      <c r="E153" s="62"/>
      <c r="F153" s="62"/>
      <c r="G153" s="62"/>
      <c r="H153" s="62"/>
      <c r="I153" s="63" t="str">
        <f>IF('Sortering af spørgsmål'!$C$30=Projektforudsætninger!$C$19,"Udfyld spørgsmål","Ingen spørgsmål")</f>
        <v>Ingen spørgsmål</v>
      </c>
      <c r="J153" s="64"/>
      <c r="K153" s="64"/>
    </row>
    <row r="154" spans="1:11" ht="113.65" customHeight="1" x14ac:dyDescent="0.45">
      <c r="A154" s="45" t="str">
        <f>Arbejdsark!$A$502</f>
        <v>Kvalitet af aflevering til driftspersonale</v>
      </c>
      <c r="B154" s="327" t="str">
        <f>Arbejdsark!$B$502</f>
        <v>5.1</v>
      </c>
      <c r="C154" s="45" t="str">
        <f>IF('Sortering af spørgsmål'!$C$30=Projektforudsætninger!$C$19,Arbejdsark!C502,"")</f>
        <v/>
      </c>
      <c r="D154" s="46">
        <f>Arbejdsark!D160</f>
        <v>0</v>
      </c>
      <c r="E154" s="45">
        <f>Arbejdsark!I160</f>
        <v>0</v>
      </c>
      <c r="F154" s="45">
        <f>Arbejdsark!J160</f>
        <v>0</v>
      </c>
      <c r="G154" s="45" t="e">
        <f>Arbejdsark!#REF!</f>
        <v>#REF!</v>
      </c>
      <c r="H154" s="45" t="e">
        <f>Arbejdsark!#REF!</f>
        <v>#REF!</v>
      </c>
      <c r="I154" s="45" t="str">
        <f>IF('Sortering af spørgsmål'!$C$30=Projektforudsætninger!$C$19,Arbejdsark!K502,"")</f>
        <v/>
      </c>
      <c r="J154" s="41" t="s">
        <v>9</v>
      </c>
      <c r="K154" s="41"/>
    </row>
    <row r="155" spans="1:11" ht="113.65" customHeight="1" x14ac:dyDescent="0.45">
      <c r="A155" s="45" t="str">
        <f>Arbejdsark!$A$502</f>
        <v>Kvalitet af aflevering til driftspersonale</v>
      </c>
      <c r="B155" s="327" t="str">
        <f>Arbejdsark!$B$507</f>
        <v>5.2</v>
      </c>
      <c r="C155" s="45" t="str">
        <f>IF('Sortering af spørgsmål'!$C$30=Projektforudsætninger!$C$19,Arbejdsark!C507,"")</f>
        <v/>
      </c>
      <c r="D155" s="46">
        <f>Arbejdsark!D161</f>
        <v>0</v>
      </c>
      <c r="E155" s="45">
        <f>Arbejdsark!I161</f>
        <v>0</v>
      </c>
      <c r="F155" s="45">
        <f>Arbejdsark!J161</f>
        <v>0</v>
      </c>
      <c r="G155" s="45" t="e">
        <f>Arbejdsark!#REF!</f>
        <v>#REF!</v>
      </c>
      <c r="H155" s="45" t="e">
        <f>Arbejdsark!#REF!</f>
        <v>#REF!</v>
      </c>
      <c r="I155" s="45" t="str">
        <f>IF('Sortering af spørgsmål'!$C$30=Projektforudsætninger!$C$19,Arbejdsark!K507,"")</f>
        <v/>
      </c>
      <c r="J155" s="41" t="s">
        <v>9</v>
      </c>
      <c r="K155" s="41"/>
    </row>
    <row r="156" spans="1:11" ht="113.65" customHeight="1" x14ac:dyDescent="0.45">
      <c r="A156" s="45" t="str">
        <f>Arbejdsark!$A$502</f>
        <v>Kvalitet af aflevering til driftspersonale</v>
      </c>
      <c r="B156" s="327" t="str">
        <f>Arbejdsark!$B$512</f>
        <v>5.3</v>
      </c>
      <c r="C156" s="45" t="str">
        <f>IF('Sortering af spørgsmål'!$C$30=Projektforudsætninger!$C$19,Arbejdsark!C512,"")</f>
        <v/>
      </c>
      <c r="D156" s="46">
        <f>Arbejdsark!D162</f>
        <v>0</v>
      </c>
      <c r="E156" s="45">
        <f>Arbejdsark!I162</f>
        <v>0</v>
      </c>
      <c r="F156" s="45">
        <f>Arbejdsark!J162</f>
        <v>0</v>
      </c>
      <c r="G156" s="45" t="e">
        <f>Arbejdsark!#REF!</f>
        <v>#REF!</v>
      </c>
      <c r="H156" s="45" t="e">
        <f>Arbejdsark!#REF!</f>
        <v>#REF!</v>
      </c>
      <c r="I156" s="45" t="str">
        <f>IF('Sortering af spørgsmål'!$C$30=Projektforudsætninger!$C$19,Arbejdsark!K512,"")</f>
        <v/>
      </c>
      <c r="J156" s="41" t="s">
        <v>9</v>
      </c>
      <c r="K156" s="41"/>
    </row>
    <row r="157" spans="1:11" x14ac:dyDescent="0.45">
      <c r="A157" s="45"/>
      <c r="B157" s="319"/>
      <c r="C157" s="45"/>
      <c r="D157" s="46"/>
      <c r="E157" s="45"/>
      <c r="F157" s="45"/>
      <c r="G157" s="45"/>
      <c r="H157" s="45"/>
      <c r="I157" s="45"/>
      <c r="J157" s="47"/>
      <c r="K157" s="47"/>
    </row>
    <row r="158" spans="1:11" ht="28.5" customHeight="1" x14ac:dyDescent="0.45">
      <c r="A158" s="62" t="str">
        <f>Arbejdsark!$A$517</f>
        <v>Byggeplads</v>
      </c>
      <c r="B158" s="328">
        <v>6</v>
      </c>
      <c r="C158" s="62"/>
      <c r="D158" s="62"/>
      <c r="E158" s="62"/>
      <c r="F158" s="62"/>
      <c r="G158" s="62"/>
      <c r="H158" s="62"/>
      <c r="I158" s="63" t="str">
        <f>IF('Sortering af spørgsmål'!$C$31=Projektforudsætninger!$C$19,"Udfyld spørgsmål","Ingen spørgsmål")</f>
        <v>Ingen spørgsmål</v>
      </c>
      <c r="J158" s="64"/>
      <c r="K158" s="64"/>
    </row>
    <row r="159" spans="1:11" ht="141.75" customHeight="1" x14ac:dyDescent="0.45">
      <c r="A159" s="45" t="str">
        <f>Arbejdsark!$A$517</f>
        <v>Byggeplads</v>
      </c>
      <c r="B159" s="327" t="str">
        <f>Arbejdsark!$B$517</f>
        <v>6.1</v>
      </c>
      <c r="C159" s="45" t="str">
        <f>IF('Sortering af spørgsmål'!$C$31=Projektforudsætninger!$C$19,Arbejdsark!C517,"")</f>
        <v/>
      </c>
      <c r="D159" s="46">
        <f>Arbejdsark!D163</f>
        <v>0</v>
      </c>
      <c r="E159" s="45">
        <f>Arbejdsark!I163</f>
        <v>0</v>
      </c>
      <c r="F159" s="45">
        <f>Arbejdsark!J163</f>
        <v>0</v>
      </c>
      <c r="G159" s="45" t="e">
        <f>Arbejdsark!#REF!</f>
        <v>#REF!</v>
      </c>
      <c r="H159" s="45" t="e">
        <f>Arbejdsark!#REF!</f>
        <v>#REF!</v>
      </c>
      <c r="I159" s="45" t="str">
        <f>IF('Sortering af spørgsmål'!$C$31=Projektforudsætninger!$C$19,Arbejdsark!K517,"")</f>
        <v/>
      </c>
      <c r="J159" s="41" t="s">
        <v>9</v>
      </c>
      <c r="K159" s="41"/>
    </row>
    <row r="160" spans="1:11" ht="141.75" customHeight="1" x14ac:dyDescent="0.45">
      <c r="A160" s="45" t="str">
        <f>Arbejdsark!$A$517</f>
        <v>Byggeplads</v>
      </c>
      <c r="B160" s="327" t="str">
        <f>Arbejdsark!$B$522</f>
        <v>6.2</v>
      </c>
      <c r="C160" s="45" t="str">
        <f>IF('Sortering af spørgsmål'!$C$31=Projektforudsætninger!$C$19,Arbejdsark!C522,"")</f>
        <v/>
      </c>
      <c r="D160" s="46" t="e">
        <f>Arbejdsark!#REF!</f>
        <v>#REF!</v>
      </c>
      <c r="E160" s="45" t="e">
        <f>Arbejdsark!#REF!</f>
        <v>#REF!</v>
      </c>
      <c r="F160" s="45" t="e">
        <f>Arbejdsark!#REF!</f>
        <v>#REF!</v>
      </c>
      <c r="G160" s="45" t="e">
        <f>Arbejdsark!#REF!</f>
        <v>#REF!</v>
      </c>
      <c r="H160" s="45" t="e">
        <f>Arbejdsark!#REF!</f>
        <v>#REF!</v>
      </c>
      <c r="I160" s="45" t="str">
        <f>IF('Sortering af spørgsmål'!$C$31=Projektforudsætninger!$C$19,Arbejdsark!K522,"")</f>
        <v/>
      </c>
      <c r="J160" s="41" t="s">
        <v>9</v>
      </c>
      <c r="K160" s="41"/>
    </row>
    <row r="161" spans="1:11" ht="141.75" customHeight="1" x14ac:dyDescent="0.45">
      <c r="A161" s="45" t="str">
        <f>Arbejdsark!$A$517</f>
        <v>Byggeplads</v>
      </c>
      <c r="B161" s="327" t="str">
        <f>Arbejdsark!$B$527</f>
        <v>6.3</v>
      </c>
      <c r="C161" s="45" t="str">
        <f>IF('Sortering af spørgsmål'!$C$31=Projektforudsætninger!$C$19,Arbejdsark!C527,"")</f>
        <v/>
      </c>
      <c r="D161" s="46" t="e">
        <f>Arbejdsark!#REF!</f>
        <v>#REF!</v>
      </c>
      <c r="E161" s="45" t="e">
        <f>Arbejdsark!#REF!</f>
        <v>#REF!</v>
      </c>
      <c r="F161" s="45" t="e">
        <f>Arbejdsark!#REF!</f>
        <v>#REF!</v>
      </c>
      <c r="G161" s="45" t="e">
        <f>Arbejdsark!#REF!</f>
        <v>#REF!</v>
      </c>
      <c r="H161" s="45" t="e">
        <f>Arbejdsark!#REF!</f>
        <v>#REF!</v>
      </c>
      <c r="I161" s="45" t="str">
        <f>IF('Sortering af spørgsmål'!$C$31=Projektforudsætninger!$C$19,Arbejdsark!K527,"")</f>
        <v/>
      </c>
      <c r="J161" s="41" t="s">
        <v>9</v>
      </c>
      <c r="K161" s="41"/>
    </row>
    <row r="162" spans="1:11" ht="113.65" customHeight="1" x14ac:dyDescent="0.45">
      <c r="A162" s="45" t="str">
        <f>Arbejdsark!$A$517</f>
        <v>Byggeplads</v>
      </c>
      <c r="B162" s="327" t="str">
        <f>Arbejdsark!$B$532</f>
        <v>6.4</v>
      </c>
      <c r="C162" s="45" t="str">
        <f>IF('Sortering af spørgsmål'!$C$31=Projektforudsætninger!$C$19,Arbejdsark!C532,"")</f>
        <v/>
      </c>
      <c r="D162" s="46" t="e">
        <f>Arbejdsark!#REF!</f>
        <v>#REF!</v>
      </c>
      <c r="E162" s="45" t="e">
        <f>Arbejdsark!#REF!</f>
        <v>#REF!</v>
      </c>
      <c r="F162" s="45" t="e">
        <f>Arbejdsark!#REF!</f>
        <v>#REF!</v>
      </c>
      <c r="G162" s="45" t="e">
        <f>Arbejdsark!#REF!</f>
        <v>#REF!</v>
      </c>
      <c r="H162" s="45" t="e">
        <f>Arbejdsark!#REF!</f>
        <v>#REF!</v>
      </c>
      <c r="I162" s="45" t="str">
        <f>IF('Sortering af spørgsmål'!$C$31=Projektforudsætninger!$C$19,Arbejdsark!K532,"")</f>
        <v/>
      </c>
      <c r="J162" s="41" t="s">
        <v>9</v>
      </c>
      <c r="K162" s="41"/>
    </row>
    <row r="163" spans="1:11" ht="113.65" customHeight="1" x14ac:dyDescent="0.45">
      <c r="A163" s="45" t="str">
        <f>Arbejdsark!$A$517</f>
        <v>Byggeplads</v>
      </c>
      <c r="B163" s="327" t="str">
        <f>Arbejdsark!$B$537</f>
        <v>6.5</v>
      </c>
      <c r="C163" s="45" t="str">
        <f>IF('Sortering af spørgsmål'!$C$31=Projektforudsætninger!$C$19,Arbejdsark!C537,"")</f>
        <v/>
      </c>
      <c r="D163" s="46" t="e">
        <f>Arbejdsark!#REF!</f>
        <v>#REF!</v>
      </c>
      <c r="E163" s="45" t="e">
        <f>Arbejdsark!#REF!</f>
        <v>#REF!</v>
      </c>
      <c r="F163" s="45" t="e">
        <f>Arbejdsark!#REF!</f>
        <v>#REF!</v>
      </c>
      <c r="G163" s="45" t="e">
        <f>Arbejdsark!#REF!</f>
        <v>#REF!</v>
      </c>
      <c r="H163" s="45" t="e">
        <f>Arbejdsark!#REF!</f>
        <v>#REF!</v>
      </c>
      <c r="I163" s="45" t="str">
        <f>IF('Sortering af spørgsmål'!$C$31=Projektforudsætninger!$C$19,Arbejdsark!K537,"")</f>
        <v/>
      </c>
      <c r="J163" s="41" t="s">
        <v>9</v>
      </c>
      <c r="K163" s="41"/>
    </row>
    <row r="164" spans="1:11" ht="113.65" customHeight="1" x14ac:dyDescent="0.45">
      <c r="A164" s="45" t="str">
        <f>Arbejdsark!$A$517</f>
        <v>Byggeplads</v>
      </c>
      <c r="B164" s="327" t="str">
        <f>Arbejdsark!$B$542</f>
        <v>6.6</v>
      </c>
      <c r="C164" s="45" t="str">
        <f>IF('Sortering af spørgsmål'!$C$31=Projektforudsætninger!$C$19,Arbejdsark!C542,"")</f>
        <v/>
      </c>
      <c r="D164" s="46" t="e">
        <f>Arbejdsark!#REF!</f>
        <v>#REF!</v>
      </c>
      <c r="E164" s="45" t="e">
        <f>Arbejdsark!#REF!</f>
        <v>#REF!</v>
      </c>
      <c r="F164" s="45" t="e">
        <f>Arbejdsark!#REF!</f>
        <v>#REF!</v>
      </c>
      <c r="G164" s="45" t="e">
        <f>Arbejdsark!#REF!</f>
        <v>#REF!</v>
      </c>
      <c r="H164" s="45" t="e">
        <f>Arbejdsark!#REF!</f>
        <v>#REF!</v>
      </c>
      <c r="I164" s="45" t="str">
        <f>IF('Sortering af spørgsmål'!$C$31=Projektforudsætninger!$C$19,Arbejdsark!K542,"")</f>
        <v/>
      </c>
      <c r="J164" s="41" t="s">
        <v>9</v>
      </c>
      <c r="K164" s="41"/>
    </row>
    <row r="165" spans="1:11" x14ac:dyDescent="0.45">
      <c r="A165" s="45"/>
      <c r="B165" s="319"/>
      <c r="C165" s="45"/>
      <c r="D165" s="46"/>
      <c r="E165" s="45"/>
      <c r="F165" s="45"/>
      <c r="G165" s="45"/>
      <c r="H165" s="45"/>
      <c r="I165" s="45"/>
      <c r="J165" s="47"/>
      <c r="K165" s="47"/>
    </row>
    <row r="166" spans="1:11" ht="42.6" customHeight="1" x14ac:dyDescent="0.45">
      <c r="A166" s="62" t="str">
        <f>Arbejdsark!$A$548</f>
        <v>Eftervisende dokumentation</v>
      </c>
      <c r="B166" s="328">
        <v>7</v>
      </c>
      <c r="C166" s="62"/>
      <c r="D166" s="62"/>
      <c r="E166" s="62"/>
      <c r="F166" s="62"/>
      <c r="G166" s="62"/>
      <c r="H166" s="62"/>
      <c r="I166" s="63" t="str">
        <f>IF('Sortering af spørgsmål'!$C$32=Projektforudsætninger!$C$19,"Udfyld spørgsmål","Ingen spørgsmål")</f>
        <v>Ingen spørgsmål</v>
      </c>
      <c r="J166" s="64"/>
      <c r="K166" s="64"/>
    </row>
    <row r="167" spans="1:11" ht="113.65" customHeight="1" x14ac:dyDescent="0.45">
      <c r="A167" s="45" t="str">
        <f>Arbejdsark!$A$548</f>
        <v>Eftervisende dokumentation</v>
      </c>
      <c r="B167" s="327" t="str">
        <f>Arbejdsark!$B$548</f>
        <v>7.1</v>
      </c>
      <c r="C167" s="45" t="str">
        <f>IF('Sortering af spørgsmål'!$C$32=Projektforudsætninger!$C$19,Arbejdsark!C548,"")</f>
        <v/>
      </c>
      <c r="D167" s="46" t="e">
        <f>Arbejdsark!#REF!</f>
        <v>#REF!</v>
      </c>
      <c r="E167" s="45" t="e">
        <f>Arbejdsark!#REF!</f>
        <v>#REF!</v>
      </c>
      <c r="F167" s="45" t="e">
        <f>Arbejdsark!#REF!</f>
        <v>#REF!</v>
      </c>
      <c r="G167" s="45" t="e">
        <f>Arbejdsark!#REF!</f>
        <v>#REF!</v>
      </c>
      <c r="H167" s="45" t="e">
        <f>Arbejdsark!#REF!</f>
        <v>#REF!</v>
      </c>
      <c r="I167" s="45" t="str">
        <f>IF('Sortering af spørgsmål'!$C$32=Projektforudsætninger!$C$19,Arbejdsark!K548,"")</f>
        <v/>
      </c>
      <c r="J167" s="41" t="s">
        <v>9</v>
      </c>
      <c r="K167" s="41"/>
    </row>
    <row r="168" spans="1:11" ht="113.65" customHeight="1" x14ac:dyDescent="0.45">
      <c r="A168" s="45" t="str">
        <f>Arbejdsark!$A$548</f>
        <v>Eftervisende dokumentation</v>
      </c>
      <c r="B168" s="327" t="str">
        <f>Arbejdsark!$B$553</f>
        <v>7.2</v>
      </c>
      <c r="C168" s="45" t="str">
        <f>IF('Sortering af spørgsmål'!$C$32=Projektforudsætninger!$C$19,Arbejdsark!C553,"")</f>
        <v/>
      </c>
      <c r="D168" s="46" t="e">
        <f>Arbejdsark!#REF!</f>
        <v>#REF!</v>
      </c>
      <c r="E168" s="45" t="e">
        <f>Arbejdsark!#REF!</f>
        <v>#REF!</v>
      </c>
      <c r="F168" s="45" t="e">
        <f>Arbejdsark!#REF!</f>
        <v>#REF!</v>
      </c>
      <c r="G168" s="45" t="e">
        <f>Arbejdsark!#REF!</f>
        <v>#REF!</v>
      </c>
      <c r="H168" s="45" t="e">
        <f>Arbejdsark!#REF!</f>
        <v>#REF!</v>
      </c>
      <c r="I168" s="45" t="str">
        <f>IF('Sortering af spørgsmål'!$C$32=Projektforudsætninger!$C$19,Arbejdsark!K553,"")</f>
        <v/>
      </c>
      <c r="J168" s="41" t="s">
        <v>9</v>
      </c>
      <c r="K168" s="41"/>
    </row>
    <row r="169" spans="1:11" ht="113.65" customHeight="1" x14ac:dyDescent="0.45">
      <c r="A169" s="45" t="str">
        <f>Arbejdsark!$A$548</f>
        <v>Eftervisende dokumentation</v>
      </c>
      <c r="B169" s="327" t="str">
        <f>Arbejdsark!$B$558</f>
        <v>7.3</v>
      </c>
      <c r="C169" s="45" t="str">
        <f>IF('Sortering af spørgsmål'!$C$32=Projektforudsætninger!$C$19,Arbejdsark!C558,"")</f>
        <v/>
      </c>
      <c r="D169" s="46" t="e">
        <f>Arbejdsark!#REF!</f>
        <v>#REF!</v>
      </c>
      <c r="E169" s="45" t="e">
        <f>Arbejdsark!#REF!</f>
        <v>#REF!</v>
      </c>
      <c r="F169" s="45" t="e">
        <f>Arbejdsark!#REF!</f>
        <v>#REF!</v>
      </c>
      <c r="G169" s="45" t="e">
        <f>Arbejdsark!#REF!</f>
        <v>#REF!</v>
      </c>
      <c r="H169" s="45" t="e">
        <f>Arbejdsark!#REF!</f>
        <v>#REF!</v>
      </c>
      <c r="I169" s="45" t="str">
        <f>IF('Sortering af spørgsmål'!$C$32=Projektforudsætninger!$C$19,Arbejdsark!K558,"")</f>
        <v/>
      </c>
      <c r="J169" s="41" t="s">
        <v>9</v>
      </c>
      <c r="K169" s="41"/>
    </row>
    <row r="170" spans="1:11" ht="170.25" customHeight="1" x14ac:dyDescent="0.45">
      <c r="A170" s="45" t="str">
        <f>Arbejdsark!$A$548</f>
        <v>Eftervisende dokumentation</v>
      </c>
      <c r="B170" s="327" t="str">
        <f>Arbejdsark!$B$563</f>
        <v>7.4</v>
      </c>
      <c r="C170" s="45" t="str">
        <f>IF('Sortering af spørgsmål'!$C$32=Projektforudsætninger!$C$19,Arbejdsark!C563,"")</f>
        <v/>
      </c>
      <c r="D170" s="46" t="e">
        <f>Arbejdsark!#REF!</f>
        <v>#REF!</v>
      </c>
      <c r="E170" s="45" t="e">
        <f>Arbejdsark!#REF!</f>
        <v>#REF!</v>
      </c>
      <c r="F170" s="45" t="e">
        <f>Arbejdsark!#REF!</f>
        <v>#REF!</v>
      </c>
      <c r="G170" s="45" t="e">
        <f>Arbejdsark!#REF!</f>
        <v>#REF!</v>
      </c>
      <c r="H170" s="45" t="e">
        <f>Arbejdsark!#REF!</f>
        <v>#REF!</v>
      </c>
      <c r="I170" s="45" t="str">
        <f>IF('Sortering af spørgsmål'!$C$32=Projektforudsætninger!$C$19,Arbejdsark!K563,"")</f>
        <v/>
      </c>
      <c r="J170" s="41" t="s">
        <v>9</v>
      </c>
      <c r="K170" s="41"/>
    </row>
    <row r="171" spans="1:11" x14ac:dyDescent="0.45">
      <c r="A171" s="45"/>
      <c r="B171" s="327" t="str">
        <f>Arbejdsark!$B$572</f>
        <v>7.5</v>
      </c>
      <c r="C171" s="45"/>
      <c r="D171" s="46"/>
      <c r="E171" s="45"/>
      <c r="F171" s="45"/>
      <c r="G171" s="45"/>
      <c r="H171" s="45"/>
      <c r="I171" s="45"/>
      <c r="J171" s="47"/>
      <c r="K171" s="47"/>
    </row>
    <row r="172" spans="1:11" ht="28.5" customHeight="1" x14ac:dyDescent="0.45">
      <c r="A172" s="136"/>
      <c r="B172" s="320"/>
      <c r="C172" s="136"/>
      <c r="D172" s="305"/>
      <c r="E172" s="136"/>
      <c r="F172" s="136"/>
      <c r="G172" s="136"/>
      <c r="H172" s="136"/>
      <c r="I172" s="136"/>
      <c r="J172" s="136"/>
      <c r="K172" s="136"/>
    </row>
    <row r="173" spans="1:11" ht="141.75" customHeight="1" x14ac:dyDescent="0.45">
      <c r="A173" s="324"/>
      <c r="B173" s="325"/>
      <c r="C173" s="324"/>
      <c r="D173" s="326"/>
      <c r="E173" s="324"/>
      <c r="F173" s="324"/>
      <c r="G173" s="324"/>
      <c r="H173" s="324"/>
      <c r="I173" s="324"/>
      <c r="J173" s="324"/>
      <c r="K173" s="324"/>
    </row>
  </sheetData>
  <sheetProtection sheet="1" selectLockedCells="1"/>
  <mergeCells count="2">
    <mergeCell ref="A2:K2"/>
    <mergeCell ref="A1:H1"/>
  </mergeCells>
  <dataValidations count="2">
    <dataValidation type="list" allowBlank="1" showInputMessage="1" showErrorMessage="1" sqref="J65 J70" xr:uid="{00000000-0002-0000-0C00-000000000000}">
      <formula1>$AD$1:$AD$5</formula1>
    </dataValidation>
    <dataValidation type="list" allowBlank="1" showInputMessage="1" showErrorMessage="1" sqref="J6:J9 J133 J167:J170 J159:J164 J154:J156 J151 J141:J145 J138 J148 J117:J123 J126:J131 J94:J108 J90:J91 J77:J78 J68:J69 J56:J64 J50:J51 J40:J47 J36:J37 J30:J31 J27 J21:J24 J16:J18 J12:J13 J73:J74 J81:J83 J86:J87 J113:J114" xr:uid="{00000000-0002-0000-0C00-000001000000}">
      <formula1>$AH$2:$AH$5</formula1>
    </dataValidation>
  </dataValidations>
  <pageMargins left="0.23622047244094491" right="0.23622047244094491" top="0.74803149606299213" bottom="0.74803149606299213" header="0.31496062992125984" footer="0.31496062992125984"/>
  <pageSetup paperSize="8" scale="86" fitToHeight="0" orientation="portrait" r:id="rId1"/>
  <headerFooter>
    <oddHeader>&amp;C&amp;9&amp;A</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2000000}">
          <x14:formula1>
            <xm:f>Arbejdsark!$L$5:$L$7</xm:f>
          </x14:formula1>
          <xm:sqref>J5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9">
    <tabColor rgb="FF7030A0"/>
    <pageSetUpPr fitToPage="1"/>
  </sheetPr>
  <dimension ref="A1:AI360"/>
  <sheetViews>
    <sheetView view="pageLayout" topLeftCell="A5" zoomScale="80" zoomScaleNormal="60" zoomScaleSheetLayoutView="80" zoomScalePageLayoutView="80" workbookViewId="0">
      <selection activeCell="B33" sqref="B33"/>
    </sheetView>
  </sheetViews>
  <sheetFormatPr defaultColWidth="9" defaultRowHeight="14.25" outlineLevelRow="1" outlineLevelCol="1" x14ac:dyDescent="0.45"/>
  <cols>
    <col min="1" max="1" width="63.3984375" style="69" customWidth="1"/>
    <col min="2" max="2" width="62.3984375" style="69" customWidth="1"/>
    <col min="3" max="3" width="41.73046875" style="69" customWidth="1" outlineLevel="1"/>
    <col min="4" max="10" width="9" style="69" customWidth="1" outlineLevel="1"/>
    <col min="11" max="11" width="9" style="86"/>
    <col min="12" max="12" width="39.73046875" style="86" customWidth="1" outlineLevel="1"/>
    <col min="13" max="13" width="75.3984375" style="86" customWidth="1" outlineLevel="1"/>
    <col min="14" max="14" width="85.265625" style="86" customWidth="1" outlineLevel="1"/>
    <col min="15" max="15" width="22.265625" style="86" customWidth="1" outlineLevel="1"/>
    <col min="16" max="16" width="21.73046875" style="86" customWidth="1" outlineLevel="1"/>
    <col min="17" max="17" width="35" style="86" customWidth="1" outlineLevel="1"/>
    <col min="18" max="18" width="28.3984375" style="86" customWidth="1" outlineLevel="1"/>
    <col min="19" max="19" width="32" style="86" customWidth="1" outlineLevel="1"/>
    <col min="20" max="20" width="9" style="86" customWidth="1" outlineLevel="1"/>
    <col min="21" max="21" width="25.73046875" style="86" customWidth="1"/>
    <col min="22" max="22" width="33.59765625" style="86" customWidth="1"/>
    <col min="23" max="35" width="9" style="86"/>
    <col min="36" max="16384" width="9" style="69"/>
  </cols>
  <sheetData>
    <row r="1" spans="1:35" ht="26.1" customHeight="1" x14ac:dyDescent="0.7">
      <c r="A1" s="72" t="s">
        <v>197</v>
      </c>
      <c r="B1" s="74"/>
      <c r="C1" s="74"/>
      <c r="D1" s="74"/>
      <c r="E1" s="74"/>
      <c r="F1" s="74"/>
      <c r="G1" s="74"/>
      <c r="H1" s="74"/>
      <c r="I1" s="74"/>
      <c r="J1" s="74"/>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row>
    <row r="2" spans="1:35" ht="15" customHeight="1" thickBot="1" x14ac:dyDescent="0.5">
      <c r="A2" s="74"/>
      <c r="B2" s="74"/>
      <c r="C2" s="74"/>
      <c r="D2" s="74"/>
      <c r="E2" s="74"/>
      <c r="F2" s="74"/>
      <c r="G2" s="74"/>
      <c r="H2" s="74"/>
      <c r="I2" s="74"/>
      <c r="J2" s="74"/>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row>
    <row r="3" spans="1:35" ht="14.65" thickBot="1" x14ac:dyDescent="0.5">
      <c r="A3" s="74" t="s">
        <v>198</v>
      </c>
      <c r="B3" s="74"/>
      <c r="C3" s="74"/>
      <c r="D3" s="74"/>
      <c r="E3" s="74"/>
      <c r="F3" s="74"/>
      <c r="G3" s="74"/>
      <c r="H3" s="74"/>
      <c r="I3" s="74"/>
      <c r="J3" s="74"/>
      <c r="K3" s="295"/>
      <c r="L3" s="149" t="str">
        <f>Arbejdsark!A1</f>
        <v>Emne</v>
      </c>
      <c r="M3" s="150" t="str">
        <f>Arbejdsark!C1</f>
        <v>Tema</v>
      </c>
      <c r="N3" s="150" t="str">
        <f>Arbejdsark!D1</f>
        <v>DGNB kriterium</v>
      </c>
      <c r="O3" s="151" t="s">
        <v>199</v>
      </c>
      <c r="P3" s="152" t="s">
        <v>200</v>
      </c>
      <c r="Q3" s="150" t="s">
        <v>201</v>
      </c>
      <c r="R3" s="153" t="s">
        <v>202</v>
      </c>
      <c r="S3" s="150" t="str">
        <f>Arbejdsark!N1</f>
        <v xml:space="preserve">Resultat jf. dialogark </v>
      </c>
      <c r="T3" s="295"/>
      <c r="U3" s="295"/>
      <c r="V3" s="295"/>
      <c r="W3" s="295"/>
      <c r="X3" s="295"/>
      <c r="Y3" s="295"/>
      <c r="Z3" s="295"/>
      <c r="AA3" s="295"/>
      <c r="AB3" s="295"/>
      <c r="AC3" s="295"/>
      <c r="AD3" s="295"/>
      <c r="AE3" s="295"/>
      <c r="AF3" s="295"/>
      <c r="AG3" s="295"/>
      <c r="AH3" s="295"/>
      <c r="AI3" s="295"/>
    </row>
    <row r="4" spans="1:35" ht="14.65" thickBot="1" x14ac:dyDescent="0.5">
      <c r="A4" s="74"/>
      <c r="B4" s="74"/>
      <c r="C4" s="10"/>
      <c r="D4" s="10"/>
      <c r="E4" s="10"/>
      <c r="F4" s="10"/>
      <c r="G4" s="10"/>
      <c r="H4" s="10"/>
      <c r="I4" s="10"/>
      <c r="J4" s="10"/>
      <c r="K4" s="154"/>
      <c r="L4" s="155" t="str">
        <f>Arbejdsark!A2</f>
        <v>MILJØ KVALITET</v>
      </c>
      <c r="M4" s="156"/>
      <c r="N4" s="156"/>
      <c r="O4" s="157">
        <f>SUM(O5,O10,O14,O19,O22,O25)</f>
        <v>0.22297740963855422</v>
      </c>
      <c r="P4" s="157">
        <f>SUM(P5,P10,P14,P19,P22,P25)</f>
        <v>0</v>
      </c>
      <c r="Q4" s="157">
        <f>SUM(Q5,Q10,Q14,Q19,Q22,Q25)</f>
        <v>0</v>
      </c>
      <c r="R4" s="158">
        <f>SUM(R5,R10,R14,R19,R22,R25)</f>
        <v>0</v>
      </c>
      <c r="S4" s="159"/>
      <c r="T4" s="295"/>
      <c r="U4" s="295"/>
      <c r="V4" s="295"/>
      <c r="W4" s="295"/>
      <c r="X4" s="160"/>
      <c r="Y4" s="160"/>
      <c r="Z4" s="160"/>
      <c r="AA4" s="160"/>
      <c r="AB4" s="160"/>
      <c r="AC4" s="295"/>
      <c r="AD4" s="295"/>
      <c r="AE4" s="295"/>
      <c r="AF4" s="295"/>
      <c r="AG4" s="295"/>
      <c r="AH4" s="295"/>
      <c r="AI4" s="295"/>
    </row>
    <row r="5" spans="1:35" x14ac:dyDescent="0.45">
      <c r="A5" s="74"/>
      <c r="B5" s="74"/>
      <c r="C5" s="10"/>
      <c r="D5" s="10"/>
      <c r="E5" s="10"/>
      <c r="F5" s="10"/>
      <c r="G5" s="10"/>
      <c r="H5" s="10"/>
      <c r="I5" s="10"/>
      <c r="J5" s="10"/>
      <c r="K5" s="154"/>
      <c r="L5" s="161" t="str">
        <f>Arbejdsark!A4</f>
        <v>Materialer</v>
      </c>
      <c r="M5" s="162"/>
      <c r="N5" s="162"/>
      <c r="O5" s="163">
        <f>SUM(O6:O8)</f>
        <v>9.4500000000000015E-2</v>
      </c>
      <c r="P5" s="163">
        <f>SUM(P6:P8)</f>
        <v>0</v>
      </c>
      <c r="Q5" s="163">
        <f>SUM(Q6:Q8)</f>
        <v>0</v>
      </c>
      <c r="R5" s="164">
        <f>SUM(R6:R8)</f>
        <v>0</v>
      </c>
      <c r="S5" s="163">
        <f>SUM(S6:S8)</f>
        <v>0</v>
      </c>
      <c r="T5" s="295"/>
      <c r="U5" s="295"/>
      <c r="V5" s="295"/>
      <c r="W5" s="295"/>
      <c r="X5" s="160"/>
      <c r="Y5" s="160"/>
      <c r="Z5" s="160"/>
      <c r="AA5" s="295"/>
      <c r="AB5" s="295"/>
      <c r="AC5" s="160"/>
      <c r="AD5" s="295"/>
      <c r="AE5" s="295"/>
      <c r="AF5" s="160"/>
      <c r="AG5" s="295"/>
      <c r="AH5" s="295"/>
      <c r="AI5" s="160"/>
    </row>
    <row r="6" spans="1:35" ht="0.4" customHeight="1" x14ac:dyDescent="0.45">
      <c r="A6" s="74"/>
      <c r="B6" s="74"/>
      <c r="C6" s="74"/>
      <c r="D6" s="74"/>
      <c r="E6" s="74"/>
      <c r="F6" s="74"/>
      <c r="G6" s="74"/>
      <c r="H6" s="74"/>
      <c r="I6" s="74"/>
      <c r="J6" s="74"/>
      <c r="K6" s="295"/>
      <c r="L6" s="165"/>
      <c r="M6" s="166" t="str">
        <f>Arbejdsark!C10</f>
        <v xml:space="preserve">Giftige stoffer </v>
      </c>
      <c r="N6" s="166" t="str">
        <f>Arbejdsark!D10</f>
        <v>ENV1.2</v>
      </c>
      <c r="O6" s="167">
        <f>Arbejdsark!E10</f>
        <v>3.3750000000000002E-2</v>
      </c>
      <c r="P6" s="168">
        <f>S6*O6</f>
        <v>0</v>
      </c>
      <c r="Q6" s="167">
        <f>IF(Projektforudsætninger!$B$14="Ja",Arbejdsark!R10,0%)</f>
        <v>0</v>
      </c>
      <c r="R6" s="169">
        <f>S6*Q6</f>
        <v>0</v>
      </c>
      <c r="S6" s="170">
        <f>IF(Arbejdsark!N10=Arbejdsark!L11,Arbejdsark!M11,IF(Arbejdsark!N10=Arbejdsark!L12,Arbejdsark!M12,IF(Arbejdsark!N10=Arbejdsark!L13,Arbejdsark!M13,0)))</f>
        <v>0</v>
      </c>
      <c r="T6" s="295"/>
      <c r="U6" s="295"/>
      <c r="V6" s="295"/>
      <c r="W6" s="295"/>
      <c r="X6" s="295"/>
      <c r="Y6" s="295"/>
      <c r="Z6" s="295"/>
      <c r="AA6" s="295"/>
      <c r="AB6" s="295"/>
      <c r="AC6" s="295"/>
      <c r="AD6" s="295"/>
      <c r="AE6" s="295"/>
      <c r="AF6" s="295"/>
      <c r="AG6" s="295"/>
      <c r="AH6" s="295"/>
      <c r="AI6" s="295"/>
    </row>
    <row r="7" spans="1:35" ht="0.4" customHeight="1" x14ac:dyDescent="0.45">
      <c r="A7" s="74"/>
      <c r="B7" s="74"/>
      <c r="C7" s="74"/>
      <c r="D7" s="74"/>
      <c r="E7" s="74"/>
      <c r="F7" s="74"/>
      <c r="G7" s="74"/>
      <c r="H7" s="74"/>
      <c r="I7" s="74"/>
      <c r="J7" s="74"/>
      <c r="K7" s="295"/>
      <c r="L7" s="165"/>
      <c r="M7" s="166" t="str">
        <f>Arbejdsark!C15</f>
        <v>Ansvarlig fremskaffelse af produkter</v>
      </c>
      <c r="N7" s="166" t="str">
        <f>Arbejdsark!D15</f>
        <v>ENV1.3</v>
      </c>
      <c r="O7" s="167">
        <f>Arbejdsark!E15</f>
        <v>1.1250000000000001E-2</v>
      </c>
      <c r="P7" s="168">
        <f>S7*O7</f>
        <v>0</v>
      </c>
      <c r="Q7" s="167">
        <f>IF(Projektforudsætninger!$B$14="Ja",Arbejdsark!R15,0%)</f>
        <v>0</v>
      </c>
      <c r="R7" s="169">
        <f>S7*Q7</f>
        <v>0</v>
      </c>
      <c r="S7" s="170">
        <f>IF(Arbejdsark!N15=Arbejdsark!L16,Arbejdsark!M16,IF(Arbejdsark!N15=Arbejdsark!L17,Arbejdsark!M17,IF(Arbejdsark!N15=Arbejdsark!L18,Arbejdsark!M18,0)))</f>
        <v>0</v>
      </c>
      <c r="T7" s="295"/>
      <c r="U7" s="295"/>
      <c r="V7" s="295"/>
      <c r="W7" s="295"/>
      <c r="X7" s="295"/>
      <c r="Y7" s="295"/>
      <c r="Z7" s="295"/>
      <c r="AA7" s="295"/>
      <c r="AB7" s="295"/>
      <c r="AC7" s="295"/>
      <c r="AD7" s="295"/>
      <c r="AE7" s="295"/>
      <c r="AF7" s="295"/>
      <c r="AG7" s="295"/>
      <c r="AH7" s="295"/>
      <c r="AI7" s="295"/>
    </row>
    <row r="8" spans="1:35" ht="0.4" customHeight="1" x14ac:dyDescent="0.45">
      <c r="A8" s="74"/>
      <c r="B8" s="74"/>
      <c r="C8" s="74"/>
      <c r="D8" s="74"/>
      <c r="E8" s="74"/>
      <c r="F8" s="74"/>
      <c r="G8" s="74"/>
      <c r="H8" s="74"/>
      <c r="I8" s="74"/>
      <c r="J8" s="74"/>
      <c r="K8" s="295"/>
      <c r="L8" s="165"/>
      <c r="M8" s="166" t="str">
        <f>Arbejdsark!C20</f>
        <v>Miljøbelastning</v>
      </c>
      <c r="N8" s="166" t="str">
        <f>Arbejdsark!D20</f>
        <v>ENV1.1 + ENV2.1
Vægtning: 40% af summen af ENV1.1 + ENV2.1 pkt. 1 og 2</v>
      </c>
      <c r="O8" s="167">
        <f>Arbejdsark!E20</f>
        <v>4.9500000000000009E-2</v>
      </c>
      <c r="P8" s="168">
        <f>S8*O8</f>
        <v>0</v>
      </c>
      <c r="Q8" s="167">
        <f>IF(Projektforudsætninger!$B$14="Ja",Arbejdsark!R20,0%)</f>
        <v>0</v>
      </c>
      <c r="R8" s="169">
        <f>S8*Q8</f>
        <v>0</v>
      </c>
      <c r="S8" s="170">
        <f>IF(Arbejdsark!N20=Arbejdsark!L21,Arbejdsark!M21,IF(Arbejdsark!N20=Arbejdsark!L22,Arbejdsark!M22,IF(Arbejdsark!N20=Arbejdsark!L23,Arbejdsark!M23,0)))</f>
        <v>0</v>
      </c>
      <c r="T8" s="295"/>
      <c r="U8" s="295"/>
      <c r="V8" s="295"/>
      <c r="W8" s="295"/>
      <c r="X8" s="295"/>
      <c r="Y8" s="295"/>
      <c r="Z8" s="295"/>
      <c r="AA8" s="295"/>
      <c r="AB8" s="295"/>
      <c r="AC8" s="295"/>
      <c r="AD8" s="295"/>
      <c r="AE8" s="295"/>
      <c r="AF8" s="295"/>
      <c r="AG8" s="295"/>
      <c r="AH8" s="295"/>
      <c r="AI8" s="295"/>
    </row>
    <row r="9" spans="1:35" ht="0.4" customHeight="1" collapsed="1" x14ac:dyDescent="0.45">
      <c r="A9" s="74"/>
      <c r="B9" s="74"/>
      <c r="C9" s="74"/>
      <c r="D9" s="74"/>
      <c r="E9" s="74"/>
      <c r="F9" s="74"/>
      <c r="G9" s="74"/>
      <c r="H9" s="74"/>
      <c r="I9" s="74"/>
      <c r="J9" s="74"/>
      <c r="K9" s="295"/>
      <c r="L9" s="165"/>
      <c r="M9" s="171"/>
      <c r="N9" s="171"/>
      <c r="O9" s="172"/>
      <c r="P9" s="168"/>
      <c r="Q9" s="172"/>
      <c r="R9" s="169"/>
      <c r="S9" s="173"/>
      <c r="T9" s="295"/>
      <c r="U9" s="295"/>
      <c r="V9" s="295"/>
      <c r="W9" s="295"/>
      <c r="X9" s="160"/>
      <c r="Y9" s="160"/>
      <c r="Z9" s="160"/>
      <c r="AA9" s="160"/>
      <c r="AB9" s="160"/>
      <c r="AC9" s="160"/>
      <c r="AD9" s="160"/>
      <c r="AE9" s="295"/>
      <c r="AF9" s="160"/>
      <c r="AG9" s="295"/>
      <c r="AH9" s="295"/>
      <c r="AI9" s="160"/>
    </row>
    <row r="10" spans="1:35" ht="16.149999999999999" thickBot="1" x14ac:dyDescent="0.55000000000000004">
      <c r="A10" s="75" t="s">
        <v>203</v>
      </c>
      <c r="B10" s="73"/>
      <c r="C10" s="73"/>
      <c r="D10" s="73"/>
      <c r="E10" s="73"/>
      <c r="F10" s="73"/>
      <c r="G10" s="73"/>
      <c r="H10" s="73"/>
      <c r="I10" s="73"/>
      <c r="J10" s="73"/>
      <c r="K10" s="295"/>
      <c r="L10" s="174" t="str">
        <f>Arbejdsark!A25</f>
        <v>Energi</v>
      </c>
      <c r="M10" s="175"/>
      <c r="N10" s="175"/>
      <c r="O10" s="176">
        <f>SUM(O11:O12)</f>
        <v>8.5500000000000007E-2</v>
      </c>
      <c r="P10" s="176">
        <f>SUM(P11:P12)</f>
        <v>0</v>
      </c>
      <c r="Q10" s="176">
        <f>SUM(Q11:Q12)</f>
        <v>0</v>
      </c>
      <c r="R10" s="177">
        <f>SUM(R11:R12)</f>
        <v>0</v>
      </c>
      <c r="S10" s="176">
        <f>SUM(S11:S12)</f>
        <v>0</v>
      </c>
      <c r="T10" s="295"/>
      <c r="U10" s="295"/>
      <c r="V10" s="295"/>
      <c r="W10" s="295"/>
      <c r="X10" s="160"/>
      <c r="Y10" s="160"/>
      <c r="Z10" s="160"/>
      <c r="AA10" s="295"/>
      <c r="AB10" s="295"/>
      <c r="AC10" s="160"/>
      <c r="AD10" s="295"/>
      <c r="AE10" s="295"/>
      <c r="AF10" s="160"/>
      <c r="AG10" s="295"/>
      <c r="AH10" s="295"/>
      <c r="AI10" s="160"/>
    </row>
    <row r="11" spans="1:35" ht="0.4" customHeight="1" x14ac:dyDescent="0.45">
      <c r="A11" s="74"/>
      <c r="B11" s="74"/>
      <c r="C11" s="74"/>
      <c r="D11" s="74"/>
      <c r="E11" s="74"/>
      <c r="F11" s="74"/>
      <c r="G11" s="74"/>
      <c r="H11" s="74"/>
      <c r="I11" s="74"/>
      <c r="J11" s="74"/>
      <c r="K11" s="295"/>
      <c r="L11" s="178"/>
      <c r="M11" s="166" t="str">
        <f>Arbejdsark!C25</f>
        <v>Andel af vedvarende energi</v>
      </c>
      <c r="N11" s="166" t="str">
        <f>Arbejdsark!D25</f>
        <v>ENV2.1
Vægtning: ENV2.1 pkt. 3</v>
      </c>
      <c r="O11" s="167">
        <f>Arbejdsark!E25</f>
        <v>1.1250000000000001E-2</v>
      </c>
      <c r="P11" s="168">
        <f>S11*O11</f>
        <v>0</v>
      </c>
      <c r="Q11" s="167">
        <f>IF(Projektforudsætninger!$B$14="Ja",Arbejdsark!R25,0%)</f>
        <v>0</v>
      </c>
      <c r="R11" s="169">
        <f>S11*Q11</f>
        <v>0</v>
      </c>
      <c r="S11" s="170">
        <f>IF(Arbejdsark!N25=Arbejdsark!L26,Arbejdsark!M26,IF(Arbejdsark!N25=Arbejdsark!L27,Arbejdsark!M27,IF(Arbejdsark!N25=Arbejdsark!L28,Arbejdsark!M28,0)))</f>
        <v>0</v>
      </c>
      <c r="T11" s="295"/>
      <c r="U11" s="295"/>
      <c r="V11" s="295"/>
      <c r="W11" s="295"/>
      <c r="X11" s="295"/>
      <c r="Y11" s="295"/>
      <c r="Z11" s="295"/>
      <c r="AA11" s="295"/>
      <c r="AB11" s="295"/>
      <c r="AC11" s="295"/>
      <c r="AD11" s="295"/>
      <c r="AE11" s="295"/>
      <c r="AF11" s="295"/>
      <c r="AG11" s="295"/>
      <c r="AH11" s="295"/>
      <c r="AI11" s="295"/>
    </row>
    <row r="12" spans="1:35" ht="0.4" customHeight="1" x14ac:dyDescent="0.45">
      <c r="A12" s="74"/>
      <c r="B12" s="74"/>
      <c r="C12" s="74"/>
      <c r="D12" s="74"/>
      <c r="E12" s="74"/>
      <c r="F12" s="74"/>
      <c r="G12" s="74"/>
      <c r="H12" s="74"/>
      <c r="I12" s="74"/>
      <c r="J12" s="74"/>
      <c r="K12" s="295"/>
      <c r="L12" s="179"/>
      <c r="M12" s="166" t="str">
        <f>Arbejdsark!C30</f>
        <v>Krav til energiramme</v>
      </c>
      <c r="N12" s="166" t="str">
        <f>Arbejdsark!D30</f>
        <v>ENV1.1 + ENV2.1
Vægtning: 60% af summen af ENV1.1 + ENV2.1 pkt 1 og 2</v>
      </c>
      <c r="O12" s="167">
        <f>Arbejdsark!E30</f>
        <v>7.425000000000001E-2</v>
      </c>
      <c r="P12" s="168">
        <f>S12*O12</f>
        <v>0</v>
      </c>
      <c r="Q12" s="167">
        <f>IF(Projektforudsætninger!$B$14="Ja",Arbejdsark!R30,0%)</f>
        <v>0</v>
      </c>
      <c r="R12" s="169">
        <f>S12*Q12</f>
        <v>0</v>
      </c>
      <c r="S12" s="170">
        <f>IF(Arbejdsark!N30=Arbejdsark!L31,Arbejdsark!M31,IF(Arbejdsark!N30=Arbejdsark!L32,Arbejdsark!M32,IF(Arbejdsark!N30=Arbejdsark!L33,Arbejdsark!M33,0)))</f>
        <v>0</v>
      </c>
      <c r="T12" s="295"/>
      <c r="U12" s="295"/>
      <c r="V12" s="295"/>
      <c r="W12" s="295"/>
      <c r="X12" s="295"/>
      <c r="Y12" s="295"/>
      <c r="Z12" s="295"/>
      <c r="AA12" s="295"/>
      <c r="AB12" s="295"/>
      <c r="AC12" s="295"/>
      <c r="AD12" s="295"/>
      <c r="AE12" s="295"/>
      <c r="AF12" s="295"/>
      <c r="AG12" s="295"/>
      <c r="AH12" s="295"/>
      <c r="AI12" s="295"/>
    </row>
    <row r="13" spans="1:35" ht="0.4" customHeight="1" collapsed="1" x14ac:dyDescent="0.45">
      <c r="A13" s="74"/>
      <c r="B13" s="74"/>
      <c r="C13" s="74"/>
      <c r="D13" s="74"/>
      <c r="E13" s="74"/>
      <c r="F13" s="74"/>
      <c r="G13" s="74"/>
      <c r="H13" s="74"/>
      <c r="I13" s="74"/>
      <c r="J13" s="74"/>
      <c r="K13" s="295"/>
      <c r="L13" s="179"/>
      <c r="M13" s="166"/>
      <c r="N13" s="166"/>
      <c r="O13" s="167"/>
      <c r="P13" s="168"/>
      <c r="Q13" s="167"/>
      <c r="R13" s="169"/>
      <c r="S13" s="170"/>
      <c r="T13" s="295"/>
      <c r="U13" s="295"/>
      <c r="V13" s="295"/>
      <c r="W13" s="295"/>
      <c r="X13" s="160"/>
      <c r="Y13" s="160"/>
      <c r="Z13" s="160"/>
      <c r="AA13" s="160"/>
      <c r="AB13" s="160"/>
      <c r="AC13" s="160"/>
      <c r="AD13" s="160"/>
      <c r="AE13" s="295"/>
      <c r="AF13" s="295"/>
      <c r="AG13" s="295"/>
      <c r="AH13" s="295"/>
      <c r="AI13" s="160"/>
    </row>
    <row r="14" spans="1:35" ht="15" customHeight="1" outlineLevel="1" x14ac:dyDescent="0.45">
      <c r="A14" s="74"/>
      <c r="B14" s="74"/>
      <c r="C14" s="74"/>
      <c r="D14" s="74"/>
      <c r="E14" s="74"/>
      <c r="F14" s="74"/>
      <c r="G14" s="74"/>
      <c r="H14" s="74"/>
      <c r="I14" s="74"/>
      <c r="J14" s="74"/>
      <c r="K14" s="295"/>
      <c r="L14" s="174" t="str">
        <f>Arbejdsark!A35</f>
        <v>Vand</v>
      </c>
      <c r="M14" s="175"/>
      <c r="N14" s="175"/>
      <c r="O14" s="176">
        <f>SUM(O15:O17)</f>
        <v>2.2500000000000003E-2</v>
      </c>
      <c r="P14" s="176">
        <f>SUM(P15:P17)</f>
        <v>0</v>
      </c>
      <c r="Q14" s="176">
        <f>SUM(Q15:Q17)</f>
        <v>0</v>
      </c>
      <c r="R14" s="177">
        <f>SUM(R15:R17)</f>
        <v>0</v>
      </c>
      <c r="S14" s="176">
        <f>SUM(S15:S17)</f>
        <v>0</v>
      </c>
      <c r="T14" s="295"/>
      <c r="U14" s="295"/>
      <c r="V14" s="295"/>
      <c r="W14" s="160"/>
      <c r="X14" s="295"/>
      <c r="Y14" s="295"/>
      <c r="Z14" s="295"/>
      <c r="AA14" s="295"/>
      <c r="AB14" s="295"/>
      <c r="AC14" s="160"/>
      <c r="AD14" s="295"/>
      <c r="AE14" s="295"/>
      <c r="AF14" s="295"/>
      <c r="AG14" s="295"/>
      <c r="AH14" s="295"/>
      <c r="AI14" s="160"/>
    </row>
    <row r="15" spans="1:35" ht="15" customHeight="1" outlineLevel="1" x14ac:dyDescent="0.45">
      <c r="A15" s="797" t="s">
        <v>204</v>
      </c>
      <c r="B15" s="797"/>
      <c r="C15" s="74"/>
      <c r="D15" s="74"/>
      <c r="E15" s="74"/>
      <c r="F15" s="74"/>
      <c r="G15" s="74"/>
      <c r="H15" s="74"/>
      <c r="I15" s="74"/>
      <c r="J15" s="74"/>
      <c r="K15" s="295"/>
      <c r="L15" s="178"/>
      <c r="M15" s="166" t="str">
        <f>Arbejdsark!C35</f>
        <v>Installationer</v>
      </c>
      <c r="N15" s="166" t="str">
        <f>Arbejdsark!D35</f>
        <v>ENV2.2
Vægtning: 20% af ENV2.2</v>
      </c>
      <c r="O15" s="167">
        <f>Arbejdsark!E35</f>
        <v>4.5000000000000005E-3</v>
      </c>
      <c r="P15" s="168">
        <f>S15*O15</f>
        <v>0</v>
      </c>
      <c r="Q15" s="167">
        <f>IF(Projektforudsætninger!$B$14="Ja",Arbejdsark!R35,0%)</f>
        <v>0</v>
      </c>
      <c r="R15" s="169">
        <f>S15*Q15</f>
        <v>0</v>
      </c>
      <c r="S15" s="170">
        <f>IF(Arbejdsark!N35=Arbejdsark!L36,Arbejdsark!M36,IF(Arbejdsark!N35=Arbejdsark!L37,Arbejdsark!M37,IF(Arbejdsark!N35=Arbejdsark!L38,Arbejdsark!M38,0)))</f>
        <v>0</v>
      </c>
      <c r="T15" s="295"/>
      <c r="U15" s="295"/>
      <c r="V15" s="295"/>
      <c r="W15" s="295"/>
      <c r="X15" s="295"/>
      <c r="Y15" s="295"/>
      <c r="Z15" s="295"/>
      <c r="AA15" s="295"/>
      <c r="AB15" s="295"/>
      <c r="AC15" s="295"/>
      <c r="AD15" s="295"/>
      <c r="AE15" s="295"/>
      <c r="AF15" s="295"/>
      <c r="AG15" s="295"/>
      <c r="AH15" s="295"/>
      <c r="AI15" s="295"/>
    </row>
    <row r="16" spans="1:35" ht="15" customHeight="1" outlineLevel="1" x14ac:dyDescent="0.45">
      <c r="A16" s="797"/>
      <c r="B16" s="797"/>
      <c r="C16" s="74"/>
      <c r="D16" s="74"/>
      <c r="E16" s="74"/>
      <c r="F16" s="74"/>
      <c r="G16" s="74"/>
      <c r="H16" s="74"/>
      <c r="I16" s="74"/>
      <c r="J16" s="74"/>
      <c r="K16" s="295"/>
      <c r="L16" s="179"/>
      <c r="M16" s="166" t="str">
        <f>Arbejdsark!C40</f>
        <v>Spildevand</v>
      </c>
      <c r="N16" s="166" t="str">
        <f>Arbejdsark!D40</f>
        <v>ENV2.2
Vægtning: 20% af ENV2.2</v>
      </c>
      <c r="O16" s="167">
        <f>Arbejdsark!E40</f>
        <v>4.5000000000000005E-3</v>
      </c>
      <c r="P16" s="168">
        <f>S16*O16</f>
        <v>0</v>
      </c>
      <c r="Q16" s="167">
        <f>IF(Projektforudsætninger!$B$14="Ja",Arbejdsark!R40,0%)</f>
        <v>0</v>
      </c>
      <c r="R16" s="169">
        <f>S16*Q16</f>
        <v>0</v>
      </c>
      <c r="S16" s="170">
        <f>IF(Arbejdsark!N40=Arbejdsark!L41,Arbejdsark!M41,IF(Arbejdsark!N40=Arbejdsark!L42,Arbejdsark!M42,IF(Arbejdsark!N40=Arbejdsark!L43,Arbejdsark!M43,0)))</f>
        <v>0</v>
      </c>
      <c r="T16" s="295"/>
      <c r="U16" s="295"/>
      <c r="V16" s="295"/>
      <c r="W16" s="295"/>
      <c r="X16" s="295"/>
      <c r="Y16" s="295"/>
      <c r="Z16" s="295"/>
      <c r="AA16" s="295"/>
      <c r="AB16" s="295"/>
      <c r="AC16" s="295"/>
      <c r="AD16" s="295"/>
      <c r="AE16" s="295"/>
      <c r="AF16" s="295"/>
      <c r="AG16" s="295"/>
      <c r="AH16" s="295"/>
      <c r="AI16" s="295"/>
    </row>
    <row r="17" spans="1:35" ht="15" customHeight="1" outlineLevel="1" x14ac:dyDescent="0.45">
      <c r="A17" s="797"/>
      <c r="B17" s="797"/>
      <c r="C17" s="74"/>
      <c r="D17" s="74"/>
      <c r="E17" s="74"/>
      <c r="F17" s="74"/>
      <c r="G17" s="74"/>
      <c r="H17" s="74"/>
      <c r="I17" s="74"/>
      <c r="J17" s="74"/>
      <c r="K17" s="295"/>
      <c r="L17" s="179"/>
      <c r="M17" s="166" t="str">
        <f>Arbejdsark!C45</f>
        <v>Nedbør</v>
      </c>
      <c r="N17" s="166" t="str">
        <f>Arbejdsark!D45</f>
        <v>ENV2.2
Vægtning: 60% af ENV2.2</v>
      </c>
      <c r="O17" s="167">
        <f>Arbejdsark!E45</f>
        <v>1.3500000000000002E-2</v>
      </c>
      <c r="P17" s="168">
        <f>S17*O17</f>
        <v>0</v>
      </c>
      <c r="Q17" s="167">
        <f>IF(Projektforudsætninger!$B$14="Ja",Arbejdsark!R45,0%)</f>
        <v>0</v>
      </c>
      <c r="R17" s="169">
        <f>S17*Q17</f>
        <v>0</v>
      </c>
      <c r="S17" s="170">
        <f>IF(Arbejdsark!N45=Arbejdsark!L46,Arbejdsark!M46,IF(Arbejdsark!N45=Arbejdsark!L47,Arbejdsark!M47,IF(Arbejdsark!N45=Arbejdsark!L48,Arbejdsark!M48,0)))</f>
        <v>0</v>
      </c>
      <c r="T17" s="295"/>
      <c r="U17" s="295"/>
      <c r="V17" s="295"/>
      <c r="W17" s="295"/>
      <c r="X17" s="295"/>
      <c r="Y17" s="295"/>
      <c r="Z17" s="295"/>
      <c r="AA17" s="295"/>
      <c r="AB17" s="295"/>
      <c r="AC17" s="295"/>
      <c r="AD17" s="295"/>
      <c r="AE17" s="295"/>
      <c r="AF17" s="295"/>
      <c r="AG17" s="295"/>
      <c r="AH17" s="295"/>
      <c r="AI17" s="295"/>
    </row>
    <row r="18" spans="1:35" ht="15" customHeight="1" outlineLevel="1" collapsed="1" x14ac:dyDescent="0.45">
      <c r="A18" s="797"/>
      <c r="B18" s="797"/>
      <c r="C18" s="74"/>
      <c r="D18" s="74"/>
      <c r="E18" s="74"/>
      <c r="F18" s="74"/>
      <c r="G18" s="74"/>
      <c r="H18" s="74"/>
      <c r="I18" s="74"/>
      <c r="J18" s="74"/>
      <c r="K18" s="295"/>
      <c r="L18" s="179"/>
      <c r="M18" s="166"/>
      <c r="N18" s="166"/>
      <c r="O18" s="167"/>
      <c r="P18" s="168"/>
      <c r="Q18" s="167"/>
      <c r="R18" s="169"/>
      <c r="S18" s="170"/>
      <c r="T18" s="295"/>
      <c r="U18" s="295"/>
      <c r="V18" s="295"/>
      <c r="W18" s="160"/>
      <c r="X18" s="295"/>
      <c r="Y18" s="295"/>
      <c r="Z18" s="295"/>
      <c r="AA18" s="295"/>
      <c r="AB18" s="295"/>
      <c r="AC18" s="160"/>
      <c r="AD18" s="295"/>
      <c r="AE18" s="295"/>
      <c r="AF18" s="295"/>
      <c r="AG18" s="295"/>
      <c r="AH18" s="295"/>
      <c r="AI18" s="160"/>
    </row>
    <row r="19" spans="1:35" ht="15" customHeight="1" outlineLevel="1" x14ac:dyDescent="0.45">
      <c r="A19" s="797"/>
      <c r="B19" s="797"/>
      <c r="C19" s="74"/>
      <c r="D19" s="74"/>
      <c r="E19" s="74"/>
      <c r="F19" s="74"/>
      <c r="G19" s="74"/>
      <c r="H19" s="74"/>
      <c r="I19" s="74"/>
      <c r="J19" s="74"/>
      <c r="K19" s="295"/>
      <c r="L19" s="174" t="str">
        <f>Arbejdsark!A51</f>
        <v>Beplantning</v>
      </c>
      <c r="M19" s="175"/>
      <c r="N19" s="175"/>
      <c r="O19" s="176">
        <f>SUM(O20:O20)</f>
        <v>1.352409638554217E-3</v>
      </c>
      <c r="P19" s="176">
        <f>SUM(P20:P20)</f>
        <v>0</v>
      </c>
      <c r="Q19" s="176">
        <f>SUM(Q20:Q20)</f>
        <v>0</v>
      </c>
      <c r="R19" s="177">
        <f>SUM(R20:R20)</f>
        <v>0</v>
      </c>
      <c r="S19" s="176">
        <f>SUM(S20:S20)</f>
        <v>0</v>
      </c>
      <c r="T19" s="295"/>
      <c r="U19" s="295"/>
      <c r="V19" s="295"/>
      <c r="W19" s="295"/>
      <c r="X19" s="295"/>
      <c r="Y19" s="295"/>
      <c r="Z19" s="295"/>
      <c r="AA19" s="295"/>
      <c r="AB19" s="295"/>
      <c r="AC19" s="160"/>
      <c r="AD19" s="295"/>
      <c r="AE19" s="295"/>
      <c r="AF19" s="295"/>
      <c r="AG19" s="295"/>
      <c r="AH19" s="295"/>
      <c r="AI19" s="160"/>
    </row>
    <row r="20" spans="1:35" ht="15" customHeight="1" outlineLevel="1" x14ac:dyDescent="0.45">
      <c r="A20" s="74"/>
      <c r="B20" s="74"/>
      <c r="C20" s="74"/>
      <c r="D20" s="74"/>
      <c r="E20" s="74"/>
      <c r="F20" s="74"/>
      <c r="G20" s="74"/>
      <c r="H20" s="74"/>
      <c r="I20" s="74"/>
      <c r="J20" s="74"/>
      <c r="K20" s="295"/>
      <c r="L20" s="178"/>
      <c r="M20" s="166" t="str">
        <f>Arbejdsark!C51</f>
        <v>Plantearter</v>
      </c>
      <c r="N20" s="166" t="str">
        <f>Arbejdsark!D51</f>
        <v>ENV2.3 + SOC1.6
Vægtning: ENV2.3 pkt. 2.2 + SOC1.6 pkt. 2.3</v>
      </c>
      <c r="O20" s="167">
        <f>Arbejdsark!E51*2/3</f>
        <v>1.352409638554217E-3</v>
      </c>
      <c r="P20" s="168">
        <f>S20*O20</f>
        <v>0</v>
      </c>
      <c r="Q20" s="167">
        <f>IF(Projektforudsætninger!$B$14="Ja",Arbejdsark!R51*2/3,0%)</f>
        <v>0</v>
      </c>
      <c r="R20" s="169">
        <f>S20*Q20</f>
        <v>0</v>
      </c>
      <c r="S20" s="170">
        <f>IF(Arbejdsark!N51=Arbejdsark!L52,Arbejdsark!M52,IF(Arbejdsark!N51=Arbejdsark!L53,Arbejdsark!M53,IF(Arbejdsark!N51=Arbejdsark!L54,Arbejdsark!M54,0)))</f>
        <v>0</v>
      </c>
      <c r="T20" s="295"/>
      <c r="U20" s="295"/>
      <c r="V20" s="295"/>
      <c r="W20" s="295"/>
      <c r="X20" s="295"/>
      <c r="Y20" s="295"/>
      <c r="Z20" s="295"/>
      <c r="AA20" s="295"/>
      <c r="AB20" s="295"/>
      <c r="AC20" s="295"/>
      <c r="AD20" s="295"/>
      <c r="AE20" s="295"/>
      <c r="AF20" s="295"/>
      <c r="AG20" s="295"/>
      <c r="AH20" s="295"/>
      <c r="AI20" s="295"/>
    </row>
    <row r="21" spans="1:35" ht="15" customHeight="1" outlineLevel="1" collapsed="1" thickBot="1" x14ac:dyDescent="0.5">
      <c r="A21" s="34"/>
      <c r="B21" s="34"/>
      <c r="C21" s="34"/>
      <c r="D21" s="34"/>
      <c r="E21" s="34"/>
      <c r="F21" s="34"/>
      <c r="G21" s="34"/>
      <c r="H21" s="34"/>
      <c r="I21" s="34"/>
      <c r="J21" s="34"/>
      <c r="K21" s="99"/>
      <c r="L21" s="180"/>
      <c r="M21" s="181"/>
      <c r="N21" s="181"/>
      <c r="O21" s="182"/>
      <c r="P21" s="183"/>
      <c r="Q21" s="182"/>
      <c r="R21" s="184"/>
      <c r="S21" s="185"/>
      <c r="T21" s="186"/>
      <c r="U21" s="295"/>
      <c r="V21" s="295"/>
      <c r="W21" s="295"/>
      <c r="X21" s="295"/>
      <c r="Y21" s="295"/>
      <c r="Z21" s="295"/>
      <c r="AA21" s="295"/>
      <c r="AB21" s="295"/>
      <c r="AC21" s="160"/>
      <c r="AD21" s="295"/>
      <c r="AE21" s="295"/>
      <c r="AF21" s="295"/>
      <c r="AG21" s="295"/>
      <c r="AH21" s="295"/>
      <c r="AI21" s="160"/>
    </row>
    <row r="22" spans="1:35" outlineLevel="1" x14ac:dyDescent="0.45">
      <c r="A22" s="74"/>
      <c r="B22" s="74"/>
      <c r="C22" s="74"/>
      <c r="D22" s="74"/>
      <c r="E22" s="74"/>
      <c r="F22" s="74"/>
      <c r="G22" s="74"/>
      <c r="H22" s="74"/>
      <c r="I22" s="74"/>
      <c r="J22" s="74"/>
      <c r="K22" s="295"/>
      <c r="L22" s="161" t="str">
        <f>Arbejdsark!A73</f>
        <v>Bebyggelsestæthed</v>
      </c>
      <c r="M22" s="162"/>
      <c r="N22" s="162"/>
      <c r="O22" s="163">
        <f>SUM(O23)</f>
        <v>4.5000000000000005E-3</v>
      </c>
      <c r="P22" s="163">
        <f>SUM(P23)</f>
        <v>0</v>
      </c>
      <c r="Q22" s="163">
        <f>SUM(Q23)</f>
        <v>0</v>
      </c>
      <c r="R22" s="164">
        <f>SUM(R23)</f>
        <v>0</v>
      </c>
      <c r="S22" s="163">
        <f>SUM(S23)</f>
        <v>0</v>
      </c>
      <c r="T22" s="295"/>
      <c r="U22" s="295"/>
      <c r="V22" s="295"/>
      <c r="W22" s="295"/>
      <c r="X22" s="295"/>
      <c r="Y22" s="295"/>
      <c r="Z22" s="295"/>
      <c r="AA22" s="295"/>
      <c r="AB22" s="295"/>
      <c r="AC22" s="295"/>
      <c r="AD22" s="295"/>
      <c r="AE22" s="295"/>
      <c r="AF22" s="295"/>
      <c r="AG22" s="295"/>
      <c r="AH22" s="295"/>
      <c r="AI22" s="295"/>
    </row>
    <row r="23" spans="1:35" ht="0.4" customHeight="1" outlineLevel="1" x14ac:dyDescent="0.45">
      <c r="A23" s="74"/>
      <c r="B23" s="74"/>
      <c r="C23" s="74"/>
      <c r="D23" s="74"/>
      <c r="E23" s="74"/>
      <c r="F23" s="74"/>
      <c r="G23" s="74"/>
      <c r="H23" s="74"/>
      <c r="I23" s="74"/>
      <c r="J23" s="74"/>
      <c r="K23" s="295"/>
      <c r="L23" s="178"/>
      <c r="M23" s="166" t="str">
        <f>Arbejdsark!C73</f>
        <v>Bebyggelsestæthed</v>
      </c>
      <c r="N23" s="166" t="str">
        <f>Arbejdsark!D73</f>
        <v>ENV2.3
Vægtning: ENV2.3 pkt. 1.2</v>
      </c>
      <c r="O23" s="167">
        <f>Arbejdsark!E73</f>
        <v>4.5000000000000005E-3</v>
      </c>
      <c r="P23" s="168">
        <f>S23*O23</f>
        <v>0</v>
      </c>
      <c r="Q23" s="167">
        <f>IF(Projektforudsætninger!$B$14="Ja",Arbejdsark!R73,0%)</f>
        <v>0</v>
      </c>
      <c r="R23" s="169">
        <f>S23*Q23</f>
        <v>0</v>
      </c>
      <c r="S23" s="170">
        <f>IF(Arbejdsark!N73=Arbejdsark!L74,Arbejdsark!M74,IF(Arbejdsark!N73=Arbejdsark!L75,Arbejdsark!M75,IF(Arbejdsark!N73=Arbejdsark!L76,Arbejdsark!M76,0)))</f>
        <v>0</v>
      </c>
      <c r="T23" s="295"/>
      <c r="U23" s="295"/>
      <c r="V23" s="295"/>
      <c r="W23" s="295"/>
      <c r="X23" s="295"/>
      <c r="Y23" s="295"/>
      <c r="Z23" s="295"/>
      <c r="AA23" s="295"/>
      <c r="AB23" s="295"/>
      <c r="AC23" s="295"/>
      <c r="AD23" s="295"/>
      <c r="AE23" s="295"/>
      <c r="AF23" s="295"/>
      <c r="AG23" s="295"/>
      <c r="AH23" s="295"/>
      <c r="AI23" s="295"/>
    </row>
    <row r="24" spans="1:35" ht="0.4" customHeight="1" outlineLevel="1" x14ac:dyDescent="0.45">
      <c r="A24" s="74"/>
      <c r="B24" s="74"/>
      <c r="C24" s="74"/>
      <c r="D24" s="74"/>
      <c r="E24" s="74"/>
      <c r="F24" s="74"/>
      <c r="G24" s="74"/>
      <c r="H24" s="74"/>
      <c r="I24" s="74"/>
      <c r="J24" s="74"/>
      <c r="K24" s="295"/>
      <c r="L24" s="179"/>
      <c r="M24" s="166"/>
      <c r="N24" s="166"/>
      <c r="O24" s="167"/>
      <c r="P24" s="168"/>
      <c r="Q24" s="167"/>
      <c r="R24" s="169"/>
      <c r="S24" s="170"/>
      <c r="T24" s="295"/>
      <c r="U24" s="295"/>
      <c r="V24" s="295"/>
      <c r="W24" s="295"/>
      <c r="X24" s="295"/>
      <c r="Y24" s="295"/>
      <c r="Z24" s="295"/>
      <c r="AA24" s="295"/>
      <c r="AB24" s="295"/>
      <c r="AC24" s="295"/>
      <c r="AD24" s="295"/>
      <c r="AE24" s="295"/>
      <c r="AF24" s="295"/>
      <c r="AG24" s="295"/>
      <c r="AH24" s="295"/>
      <c r="AI24" s="295"/>
    </row>
    <row r="25" spans="1:35" outlineLevel="1" x14ac:dyDescent="0.45">
      <c r="A25" s="74"/>
      <c r="B25" s="74"/>
      <c r="C25" s="74"/>
      <c r="D25" s="74"/>
      <c r="E25" s="74"/>
      <c r="F25" s="74"/>
      <c r="G25" s="74"/>
      <c r="H25" s="74"/>
      <c r="I25" s="74"/>
      <c r="J25" s="74"/>
      <c r="K25" s="295"/>
      <c r="L25" s="174" t="str">
        <f>Arbejdsark!A78</f>
        <v>Forurening</v>
      </c>
      <c r="M25" s="175"/>
      <c r="N25" s="175"/>
      <c r="O25" s="176">
        <f>SUM(O26:O27)</f>
        <v>1.4625000000000003E-2</v>
      </c>
      <c r="P25" s="176">
        <f>SUM(P26:P27)</f>
        <v>0</v>
      </c>
      <c r="Q25" s="176">
        <f>SUM(Q26:Q27)</f>
        <v>0</v>
      </c>
      <c r="R25" s="177">
        <f>SUM(R26:R27)</f>
        <v>0</v>
      </c>
      <c r="S25" s="176">
        <f>SUM(S26:S27)</f>
        <v>0</v>
      </c>
      <c r="T25" s="295"/>
      <c r="U25" s="295"/>
      <c r="V25" s="295"/>
      <c r="W25" s="295"/>
      <c r="X25" s="295"/>
      <c r="Y25" s="295"/>
      <c r="Z25" s="295"/>
      <c r="AA25" s="295"/>
      <c r="AB25" s="295"/>
      <c r="AC25" s="295"/>
      <c r="AD25" s="295"/>
      <c r="AE25" s="295"/>
      <c r="AF25" s="295"/>
      <c r="AG25" s="295"/>
      <c r="AH25" s="295"/>
      <c r="AI25" s="295"/>
    </row>
    <row r="26" spans="1:35" ht="17.649999999999999" customHeight="1" outlineLevel="1" x14ac:dyDescent="0.45">
      <c r="A26" s="74"/>
      <c r="B26" s="74"/>
      <c r="C26" s="74"/>
      <c r="D26" s="74"/>
      <c r="E26" s="74"/>
      <c r="F26" s="74"/>
      <c r="G26" s="74"/>
      <c r="H26" s="74"/>
      <c r="I26" s="74"/>
      <c r="J26" s="74"/>
      <c r="K26" s="295"/>
      <c r="L26" s="178"/>
      <c r="M26" s="166" t="str">
        <f>Arbejdsark!C78</f>
        <v>Jordforurening - håndtering</v>
      </c>
      <c r="N26" s="166" t="str">
        <f>Arbejdsark!D78</f>
        <v>ENV2.3
Vægtning: ENV2.3 pkt. 2.1 + 2.2+3</v>
      </c>
      <c r="O26" s="167">
        <f>Arbejdsark!E78</f>
        <v>1.0125000000000002E-2</v>
      </c>
      <c r="P26" s="168">
        <f>S26*O26</f>
        <v>0</v>
      </c>
      <c r="Q26" s="167">
        <f>IF(Projektforudsætninger!$B$14="Ja",Arbejdsark!R78,0%)</f>
        <v>0</v>
      </c>
      <c r="R26" s="169">
        <f>S26*Q26</f>
        <v>0</v>
      </c>
      <c r="S26" s="170">
        <f>IF(Arbejdsark!N78=Arbejdsark!L79,Arbejdsark!M79,IF(Arbejdsark!N78=Arbejdsark!L80,Arbejdsark!M80,IF(Arbejdsark!N78=Arbejdsark!L81,Arbejdsark!M81,0)))</f>
        <v>0</v>
      </c>
      <c r="T26" s="295"/>
      <c r="U26" s="295"/>
      <c r="V26" s="295"/>
      <c r="W26" s="295"/>
      <c r="X26" s="295"/>
      <c r="Y26" s="295"/>
      <c r="Z26" s="295"/>
      <c r="AA26" s="295"/>
      <c r="AB26" s="295"/>
      <c r="AC26" s="295"/>
      <c r="AD26" s="295"/>
      <c r="AE26" s="295"/>
      <c r="AF26" s="295"/>
      <c r="AG26" s="295"/>
      <c r="AH26" s="295"/>
      <c r="AI26" s="295"/>
    </row>
    <row r="27" spans="1:35" ht="14.65" customHeight="1" outlineLevel="1" x14ac:dyDescent="0.45">
      <c r="A27" s="74"/>
      <c r="B27" s="74"/>
      <c r="C27" s="74"/>
      <c r="D27" s="74"/>
      <c r="E27" s="74"/>
      <c r="F27" s="74"/>
      <c r="G27" s="74"/>
      <c r="H27" s="74"/>
      <c r="I27" s="74"/>
      <c r="J27" s="74"/>
      <c r="K27" s="295"/>
      <c r="L27" s="179"/>
      <c r="M27" s="166" t="str">
        <f>Arbejdsark!C84</f>
        <v>Valg af byggegrund</v>
      </c>
      <c r="N27" s="166" t="str">
        <f>Arbejdsark!D84</f>
        <v>ENV2.3
Vægtning: ENV2.3 pkt. 1.1</v>
      </c>
      <c r="O27" s="167">
        <f>Arbejdsark!E84</f>
        <v>4.5000000000000005E-3</v>
      </c>
      <c r="P27" s="168">
        <f>S27*O27</f>
        <v>0</v>
      </c>
      <c r="Q27" s="167">
        <f>IF(Projektforudsætninger!$B$14="Ja",Arbejdsark!R84,0%)</f>
        <v>0</v>
      </c>
      <c r="R27" s="169">
        <f>S27*Q27</f>
        <v>0</v>
      </c>
      <c r="S27" s="170">
        <f>IF(Arbejdsark!N84=Arbejdsark!L85,Arbejdsark!M85,IF(Arbejdsark!N84=Arbejdsark!L86,Arbejdsark!M86,IF(Arbejdsark!N84=Arbejdsark!L87,Arbejdsark!M87,0)))</f>
        <v>0</v>
      </c>
      <c r="T27" s="295"/>
      <c r="U27" s="295"/>
      <c r="V27" s="295"/>
      <c r="W27" s="295"/>
      <c r="X27" s="295"/>
      <c r="Y27" s="295"/>
      <c r="Z27" s="295"/>
      <c r="AA27" s="295"/>
      <c r="AB27" s="295"/>
      <c r="AC27" s="295"/>
      <c r="AD27" s="295"/>
      <c r="AE27" s="295"/>
      <c r="AF27" s="295"/>
      <c r="AG27" s="295"/>
      <c r="AH27" s="295"/>
      <c r="AI27" s="295"/>
    </row>
    <row r="28" spans="1:35" ht="17.100000000000001" customHeight="1" outlineLevel="1" thickBot="1" x14ac:dyDescent="0.5">
      <c r="A28" s="74"/>
      <c r="B28" s="74"/>
      <c r="C28" s="74"/>
      <c r="D28" s="74"/>
      <c r="E28" s="74"/>
      <c r="F28" s="74"/>
      <c r="G28" s="74"/>
      <c r="H28" s="74"/>
      <c r="I28" s="74"/>
      <c r="J28" s="74"/>
      <c r="K28" s="295"/>
      <c r="L28" s="187"/>
      <c r="M28" s="181"/>
      <c r="N28" s="181"/>
      <c r="O28" s="182"/>
      <c r="P28" s="183"/>
      <c r="Q28" s="182"/>
      <c r="R28" s="184"/>
      <c r="S28" s="185"/>
      <c r="T28" s="295"/>
      <c r="U28" s="295"/>
      <c r="V28" s="295"/>
      <c r="W28" s="295"/>
      <c r="X28" s="295"/>
      <c r="Y28" s="295"/>
      <c r="Z28" s="295"/>
      <c r="AA28" s="295"/>
      <c r="AB28" s="295"/>
      <c r="AC28" s="295"/>
      <c r="AD28" s="295"/>
      <c r="AE28" s="295"/>
      <c r="AF28" s="295"/>
      <c r="AG28" s="295"/>
      <c r="AH28" s="295"/>
      <c r="AI28" s="295"/>
    </row>
    <row r="29" spans="1:35" ht="14.65" outlineLevel="1" thickBot="1" x14ac:dyDescent="0.5">
      <c r="A29" s="74"/>
      <c r="B29" s="74"/>
      <c r="C29" s="74"/>
      <c r="D29" s="74"/>
      <c r="E29" s="74"/>
      <c r="F29" s="74"/>
      <c r="G29" s="74"/>
      <c r="H29" s="74"/>
      <c r="I29" s="74"/>
      <c r="J29" s="74"/>
      <c r="K29" s="295"/>
      <c r="L29" s="155" t="str">
        <f>Arbejdsark!A89</f>
        <v>ØKONOMISK  KVALITET</v>
      </c>
      <c r="M29" s="156"/>
      <c r="N29" s="156"/>
      <c r="O29" s="157">
        <f>SUM(O30,O35,O44)</f>
        <v>0.18658341669717987</v>
      </c>
      <c r="P29" s="157">
        <f>SUM(P30,P35,P44)</f>
        <v>0</v>
      </c>
      <c r="Q29" s="157">
        <f>SUM(Q30,Q35,Q44)</f>
        <v>0</v>
      </c>
      <c r="R29" s="158">
        <f>SUM(R30,R35,R44)</f>
        <v>0</v>
      </c>
      <c r="S29" s="159"/>
      <c r="T29" s="295"/>
      <c r="U29" s="295"/>
      <c r="V29" s="295"/>
      <c r="W29" s="295"/>
      <c r="X29" s="295"/>
      <c r="Y29" s="295"/>
      <c r="Z29" s="295"/>
      <c r="AA29" s="295"/>
      <c r="AB29" s="295"/>
      <c r="AC29" s="295"/>
      <c r="AD29" s="295"/>
      <c r="AE29" s="295"/>
      <c r="AF29" s="295"/>
      <c r="AG29" s="295"/>
      <c r="AH29" s="295"/>
      <c r="AI29" s="295"/>
    </row>
    <row r="30" spans="1:35" ht="15" customHeight="1" outlineLevel="1" x14ac:dyDescent="0.45">
      <c r="A30" s="74"/>
      <c r="B30" s="74"/>
      <c r="C30" s="74"/>
      <c r="D30" s="74"/>
      <c r="E30" s="74"/>
      <c r="F30" s="74"/>
      <c r="G30" s="74"/>
      <c r="H30" s="74"/>
      <c r="I30" s="74"/>
      <c r="J30" s="74"/>
      <c r="K30" s="295"/>
      <c r="L30" s="161" t="str">
        <f>Arbejdsark!A91</f>
        <v>Levetidsomkostninger</v>
      </c>
      <c r="M30" s="162"/>
      <c r="N30" s="162"/>
      <c r="O30" s="163">
        <f>SUM(O31:O33)</f>
        <v>0.1108695652173913</v>
      </c>
      <c r="P30" s="163">
        <f>SUM(P31:P33)</f>
        <v>0</v>
      </c>
      <c r="Q30" s="163">
        <f>SUM(Q31:Q33)</f>
        <v>0</v>
      </c>
      <c r="R30" s="164">
        <f>SUM(R31:R33)</f>
        <v>0</v>
      </c>
      <c r="S30" s="163">
        <f>SUM(S31:S33)</f>
        <v>0</v>
      </c>
      <c r="T30" s="295"/>
      <c r="U30" s="295"/>
      <c r="V30" s="295"/>
      <c r="W30" s="295"/>
      <c r="X30" s="295"/>
      <c r="Y30" s="295"/>
      <c r="Z30" s="295"/>
      <c r="AA30" s="295"/>
      <c r="AB30" s="295"/>
      <c r="AC30" s="295"/>
      <c r="AD30" s="295"/>
      <c r="AE30" s="295"/>
      <c r="AF30" s="295"/>
      <c r="AG30" s="295"/>
      <c r="AH30" s="295"/>
      <c r="AI30" s="295"/>
    </row>
    <row r="31" spans="1:35" ht="15" customHeight="1" outlineLevel="1" x14ac:dyDescent="0.45">
      <c r="A31" s="74"/>
      <c r="B31" s="74"/>
      <c r="C31" s="74"/>
      <c r="D31" s="74"/>
      <c r="E31" s="74"/>
      <c r="F31" s="74"/>
      <c r="G31" s="74"/>
      <c r="H31" s="74"/>
      <c r="I31" s="74"/>
      <c r="J31" s="74"/>
      <c r="K31" s="295"/>
      <c r="L31" s="178"/>
      <c r="M31" s="166" t="str">
        <f>Arbejdsark!C91</f>
        <v>Holdbare byggematerialer</v>
      </c>
      <c r="N31" s="166" t="str">
        <f>Arbejdsark!D91</f>
        <v>ECO2.2
Vægtning: ECO2.2 pkt. 1.1 + 1.2 +1.3</v>
      </c>
      <c r="O31" s="167">
        <f>Arbejdsark!E91</f>
        <v>1.3043478260869565E-2</v>
      </c>
      <c r="P31" s="168">
        <f>S31*O31</f>
        <v>0</v>
      </c>
      <c r="Q31" s="167">
        <f>IF(Projektforudsætninger!$B$14="Ja",Arbejdsark!R91,0%)</f>
        <v>0</v>
      </c>
      <c r="R31" s="169">
        <f>S31*Q31</f>
        <v>0</v>
      </c>
      <c r="S31" s="170">
        <f>IF(Arbejdsark!N91=Arbejdsark!L92,Arbejdsark!M92,IF(Arbejdsark!N91=Arbejdsark!L93,Arbejdsark!M93,IF(Arbejdsark!N91=Arbejdsark!L94,Arbejdsark!M94,0)))</f>
        <v>0</v>
      </c>
      <c r="T31" s="295"/>
      <c r="U31" s="295"/>
      <c r="V31" s="295"/>
      <c r="W31" s="295"/>
      <c r="X31" s="295"/>
      <c r="Y31" s="295"/>
      <c r="Z31" s="295"/>
      <c r="AA31" s="295"/>
      <c r="AB31" s="295"/>
      <c r="AC31" s="295"/>
      <c r="AD31" s="295"/>
      <c r="AE31" s="295"/>
      <c r="AF31" s="295"/>
      <c r="AG31" s="295"/>
      <c r="AH31" s="295"/>
      <c r="AI31" s="295"/>
    </row>
    <row r="32" spans="1:35" ht="15" customHeight="1" outlineLevel="1" x14ac:dyDescent="0.45">
      <c r="A32" s="74"/>
      <c r="B32" s="74"/>
      <c r="C32" s="74"/>
      <c r="D32" s="74"/>
      <c r="E32" s="74"/>
      <c r="F32" s="74"/>
      <c r="G32" s="74"/>
      <c r="H32" s="74"/>
      <c r="I32" s="74"/>
      <c r="J32" s="74"/>
      <c r="K32" s="295"/>
      <c r="L32" s="178"/>
      <c r="M32" s="166" t="str">
        <f>Arbejdsark!C96</f>
        <v>Totaløkonomi</v>
      </c>
      <c r="N32" s="166" t="str">
        <f>Arbejdsark!D96</f>
        <v>ECO1.1
Vægtning: 87% af ECO1.1 (resten under renhold)</v>
      </c>
      <c r="O32" s="167">
        <f>Arbejdsark!E96</f>
        <v>8.510869565217391E-2</v>
      </c>
      <c r="P32" s="188">
        <f>S32*O32</f>
        <v>0</v>
      </c>
      <c r="Q32" s="167">
        <f>IF(Projektforudsætninger!$B$14="Ja",Arbejdsark!R96,0%)</f>
        <v>0</v>
      </c>
      <c r="R32" s="169">
        <f>S32*Q32</f>
        <v>0</v>
      </c>
      <c r="S32" s="170">
        <f>IF(Projektforudsætninger!C38=Arbejdsark!L97,Arbejdsark!M97,IF(Projektforudsætninger!C38=Arbejdsark!L98,Arbejdsark!M98,IF(Projektforudsætninger!C38=Arbejdsark!L99,Arbejdsark!M99,IF(Projektforudsætninger!C38=Arbejdsark!L100,Arbejdsark!M100,IF(Projektforudsætninger!C38=Arbejdsark!L101,Arbejdsark!M101,IF(Projektforudsætninger!C38=Arbejdsark!L102,Arbejdsark!M102,IF(Projektforudsætninger!C38=Arbejdsark!L103,Arbejdsark!M103,IF(Projektforudsætninger!C38=Arbejdsark!L104,Arbejdsark!M104,IF(Projektforudsætninger!C38=Arbejdsark!L105,Arbejdsark!M105,IF(Projektforudsætninger!C38=Arbejdsark!L106,Arbejdsark!M106,IF(Projektforudsætninger!C38=Arbejdsark!L107,Arbejdsark!M107,0)))))))))))</f>
        <v>0</v>
      </c>
      <c r="T32" s="295"/>
      <c r="U32" s="295"/>
      <c r="V32" s="295"/>
      <c r="W32" s="295"/>
      <c r="X32" s="295"/>
      <c r="Y32" s="295"/>
      <c r="Z32" s="295"/>
      <c r="AA32" s="295"/>
      <c r="AB32" s="295"/>
      <c r="AC32" s="295"/>
      <c r="AD32" s="295"/>
      <c r="AE32" s="295"/>
      <c r="AF32" s="295"/>
      <c r="AG32" s="295"/>
      <c r="AH32" s="295"/>
      <c r="AI32" s="295"/>
    </row>
    <row r="33" spans="12:19" ht="15" customHeight="1" outlineLevel="1" x14ac:dyDescent="0.45">
      <c r="L33" s="179"/>
      <c r="M33" s="166" t="str">
        <f>Arbejdsark!C109</f>
        <v>Renhold</v>
      </c>
      <c r="N33" s="166" t="str">
        <f>Arbejdsark!D109</f>
        <v>ECO1.1
Vægtning: 13% af ECO1.1</v>
      </c>
      <c r="O33" s="167">
        <f>Arbejdsark!E109</f>
        <v>1.2717391304347826E-2</v>
      </c>
      <c r="P33" s="168">
        <f>S33*O33</f>
        <v>0</v>
      </c>
      <c r="Q33" s="167">
        <f>IF(Projektforudsætninger!$B$14="Ja",Arbejdsark!R109,0%)</f>
        <v>0</v>
      </c>
      <c r="R33" s="169">
        <f>S33*Q33</f>
        <v>0</v>
      </c>
      <c r="S33" s="170">
        <f>IF(Arbejdsark!N109=Arbejdsark!L110,Arbejdsark!M110,IF(Arbejdsark!N109=Arbejdsark!L111,Arbejdsark!M111,IF(Arbejdsark!N109=Arbejdsark!L112,Arbejdsark!M112,0)))</f>
        <v>0</v>
      </c>
    </row>
    <row r="34" spans="12:19" ht="15" customHeight="1" outlineLevel="1" x14ac:dyDescent="0.45">
      <c r="L34" s="179"/>
      <c r="M34" s="166"/>
      <c r="N34" s="166"/>
      <c r="O34" s="167"/>
      <c r="P34" s="168"/>
      <c r="Q34" s="167"/>
      <c r="R34" s="169"/>
      <c r="S34" s="170"/>
    </row>
    <row r="35" spans="12:19" ht="15" customHeight="1" outlineLevel="1" x14ac:dyDescent="0.45">
      <c r="L35" s="174" t="str">
        <f>Arbejdsark!A114</f>
        <v>Fleksibilitet</v>
      </c>
      <c r="M35" s="175"/>
      <c r="N35" s="175"/>
      <c r="O35" s="176">
        <f>SUM(O36:O42)</f>
        <v>6.1766758761087677E-2</v>
      </c>
      <c r="P35" s="176">
        <f>SUM(P36:P42)</f>
        <v>0</v>
      </c>
      <c r="Q35" s="176">
        <f>SUM(Q36:Q42)</f>
        <v>0</v>
      </c>
      <c r="R35" s="177">
        <f>SUM(R36:R42)</f>
        <v>0</v>
      </c>
      <c r="S35" s="176">
        <f>SUM(S36:S42)</f>
        <v>0</v>
      </c>
    </row>
    <row r="36" spans="12:19" ht="0.4" customHeight="1" outlineLevel="1" x14ac:dyDescent="0.45">
      <c r="L36" s="178"/>
      <c r="M36" s="166" t="str">
        <f>Arbejdsark!C114</f>
        <v>Rumhøjder</v>
      </c>
      <c r="N36" s="166" t="str">
        <f>Arbejdsark!D114</f>
        <v>ECO2.1
Vægtning: ECO2.1 pkt 2</v>
      </c>
      <c r="O36" s="167">
        <f>Arbejdsark!E114</f>
        <v>6.5217391304347823E-3</v>
      </c>
      <c r="P36" s="168">
        <f t="shared" ref="P36:P42" si="0">S36*O36</f>
        <v>0</v>
      </c>
      <c r="Q36" s="167">
        <f>IF(Projektforudsætninger!$B$14="Ja",Arbejdsark!R114,0%)</f>
        <v>0</v>
      </c>
      <c r="R36" s="169">
        <f t="shared" ref="R36:R42" si="1">S36*Q36</f>
        <v>0</v>
      </c>
      <c r="S36" s="170">
        <f>IF(Arbejdsark!N114=Arbejdsark!L115,Arbejdsark!M115,IF(Arbejdsark!N114=Arbejdsark!L116,Arbejdsark!M116,IF(Arbejdsark!N114=Arbejdsark!L117,Arbejdsark!M117,0)))</f>
        <v>0</v>
      </c>
    </row>
    <row r="37" spans="12:19" ht="0.4" customHeight="1" outlineLevel="1" x14ac:dyDescent="0.45">
      <c r="L37" s="179"/>
      <c r="M37" s="166" t="str">
        <f>Arbejdsark!C119</f>
        <v>Bygningsdybde</v>
      </c>
      <c r="N37" s="166" t="str">
        <f>Arbejdsark!D119</f>
        <v>ECO2.1
Vægtning: ECO2.1 pkt. 3</v>
      </c>
      <c r="O37" s="167">
        <f>Arbejdsark!E119</f>
        <v>9.7826086956521747E-3</v>
      </c>
      <c r="P37" s="168">
        <f t="shared" si="0"/>
        <v>0</v>
      </c>
      <c r="Q37" s="167">
        <f>IF(Projektforudsætninger!$B$14="Ja",Arbejdsark!R119,0%)</f>
        <v>0</v>
      </c>
      <c r="R37" s="169">
        <f t="shared" si="1"/>
        <v>0</v>
      </c>
      <c r="S37" s="170">
        <f>IF(Arbejdsark!N119=Arbejdsark!L120,Arbejdsark!M120,IF(Arbejdsark!N119=Arbejdsark!L121,Arbejdsark!M121,IF(Arbejdsark!N119=Arbejdsark!L122,Arbejdsark!M122,0)))</f>
        <v>0</v>
      </c>
    </row>
    <row r="38" spans="12:19" ht="0.4" customHeight="1" outlineLevel="1" x14ac:dyDescent="0.45">
      <c r="L38" s="179"/>
      <c r="M38" s="166" t="str">
        <f>Arbejdsark!C124</f>
        <v>Nytteareal</v>
      </c>
      <c r="N38" s="166" t="str">
        <f>Arbejdsark!D124</f>
        <v>ECO2.1
Vægtning: ECO2.1 pkt 1</v>
      </c>
      <c r="O38" s="167">
        <f>Arbejdsark!E124</f>
        <v>1.3043478260869565E-2</v>
      </c>
      <c r="P38" s="168">
        <f t="shared" si="0"/>
        <v>0</v>
      </c>
      <c r="Q38" s="167">
        <f>IF(Projektforudsætninger!$B$14="Ja",Arbejdsark!R124,0%)</f>
        <v>0</v>
      </c>
      <c r="R38" s="169">
        <f t="shared" si="1"/>
        <v>0</v>
      </c>
      <c r="S38" s="170">
        <f>IF(Arbejdsark!N124=Arbejdsark!L125,Arbejdsark!M125,IF(Arbejdsark!N124=Arbejdsark!L126,Arbejdsark!M126,IF(Arbejdsark!N124=Arbejdsark!L127,Arbejdsark!M127,0)))</f>
        <v>0</v>
      </c>
    </row>
    <row r="39" spans="12:19" outlineLevel="1" x14ac:dyDescent="0.45">
      <c r="L39" s="179"/>
      <c r="M39" s="166" t="str">
        <f>Arbejdsark!C129</f>
        <v>Sammenlægning af boliger</v>
      </c>
      <c r="N39" s="166" t="str">
        <f>Arbejdsark!D129</f>
        <v>ECO2.1
Vægtning: ECO2.1 pkt 5</v>
      </c>
      <c r="O39" s="167">
        <f>Arbejdsark!E129</f>
        <v>6.5217391304347823E-3</v>
      </c>
      <c r="P39" s="168">
        <f t="shared" si="0"/>
        <v>0</v>
      </c>
      <c r="Q39" s="167">
        <f>IF(Projektforudsætninger!$B$14="Ja",Arbejdsark!R129,0%)</f>
        <v>0</v>
      </c>
      <c r="R39" s="169">
        <f t="shared" si="1"/>
        <v>0</v>
      </c>
      <c r="S39" s="170">
        <f>IF(Arbejdsark!N129=Arbejdsark!L130,Arbejdsark!M130,IF(Arbejdsark!N129=Arbejdsark!L131,Arbejdsark!M131,IF(Arbejdsark!N129=Arbejdsark!L132,Arbejdsark!M132,0)))</f>
        <v>0</v>
      </c>
    </row>
    <row r="40" spans="12:19" outlineLevel="1" x14ac:dyDescent="0.45">
      <c r="L40" s="179"/>
      <c r="M40" s="166" t="str">
        <f>Arbejdsark!C134</f>
        <v>Indervægges placering</v>
      </c>
      <c r="N40" s="166" t="str">
        <f>Arbejdsark!D134</f>
        <v>ECO2.1
Vægtning: 75% af ECO2.1 pkt 6</v>
      </c>
      <c r="O40" s="167">
        <f>Arbejdsark!E134</f>
        <v>4.8913043478260865E-3</v>
      </c>
      <c r="P40" s="168">
        <f t="shared" si="0"/>
        <v>0</v>
      </c>
      <c r="Q40" s="167">
        <f>IF(Projektforudsætninger!$B$14="Ja",Arbejdsark!R134,0%)</f>
        <v>0</v>
      </c>
      <c r="R40" s="169">
        <f t="shared" si="1"/>
        <v>0</v>
      </c>
      <c r="S40" s="170">
        <f>IF(Arbejdsark!N134=Arbejdsark!L135,Arbejdsark!M135,IF(Arbejdsark!N134=Arbejdsark!L136,Arbejdsark!M136,IF(Arbejdsark!N134=Arbejdsark!L137,Arbejdsark!M137,0)))</f>
        <v>0</v>
      </c>
    </row>
    <row r="41" spans="12:19" outlineLevel="1" x14ac:dyDescent="0.45">
      <c r="L41" s="179"/>
      <c r="M41" s="166" t="str">
        <f>Arbejdsark!C139</f>
        <v xml:space="preserve">Installationer - føring </v>
      </c>
      <c r="N41" s="166" t="str">
        <f>Arbejdsark!D139</f>
        <v>ECO2.1 + TEC1.4
Vægtning: ECO2.1 pkt. 7.1, 7.2 og 7.3 + TEC1.4 pkt. 1.1, 1.2 og 1.3</v>
      </c>
      <c r="O41" s="167">
        <f>Arbejdsark!E139*1.8/2.3</f>
        <v>1.9375454413261595E-2</v>
      </c>
      <c r="P41" s="168">
        <f t="shared" si="0"/>
        <v>0</v>
      </c>
      <c r="Q41" s="167">
        <f>IF(Projektforudsætninger!$B$14="Ja",Arbejdsark!R139*1.8/2.3,0%)</f>
        <v>0</v>
      </c>
      <c r="R41" s="169">
        <f t="shared" si="1"/>
        <v>0</v>
      </c>
      <c r="S41" s="170">
        <f>IF(Arbejdsark!N139=Arbejdsark!L140,Arbejdsark!M140,IF(Arbejdsark!N139=Arbejdsark!L141,Arbejdsark!M141,IF(Arbejdsark!N139=Arbejdsark!L142,Arbejdsark!M142,0)))</f>
        <v>0</v>
      </c>
    </row>
    <row r="42" spans="12:19" outlineLevel="1" x14ac:dyDescent="0.45">
      <c r="L42" s="179"/>
      <c r="M42" s="166" t="str">
        <f>Arbejdsark!C149</f>
        <v>Konstruktioners bæreevne</v>
      </c>
      <c r="N42" s="166" t="str">
        <f>Arbejdsark!D149</f>
        <v>ECO2.1
Vægtning: 25 % af ECO2.1 pkt. 6</v>
      </c>
      <c r="O42" s="167">
        <f>Arbejdsark!E149</f>
        <v>1.6304347826086956E-3</v>
      </c>
      <c r="P42" s="168">
        <f t="shared" si="0"/>
        <v>0</v>
      </c>
      <c r="Q42" s="167">
        <f>IF(Projektforudsætninger!$B$14="Ja",Arbejdsark!R149,0%)</f>
        <v>0</v>
      </c>
      <c r="R42" s="169">
        <f t="shared" si="1"/>
        <v>0</v>
      </c>
      <c r="S42" s="170">
        <f>IF(Arbejdsark!N149=Arbejdsark!L150,Arbejdsark!M150,IF(Arbejdsark!N149=Arbejdsark!L151,Arbejdsark!M151,IF(Arbejdsark!N149=Arbejdsark!L152,Arbejdsark!M152,0)))</f>
        <v>0</v>
      </c>
    </row>
    <row r="43" spans="12:19" outlineLevel="1" x14ac:dyDescent="0.45">
      <c r="L43" s="179"/>
      <c r="M43" s="166"/>
      <c r="N43" s="166"/>
      <c r="O43" s="167"/>
      <c r="P43" s="168"/>
      <c r="Q43" s="167"/>
      <c r="R43" s="169"/>
      <c r="S43" s="170"/>
    </row>
    <row r="44" spans="12:19" outlineLevel="1" x14ac:dyDescent="0.45">
      <c r="L44" s="174" t="str">
        <f>Arbejdsark!A154</f>
        <v>Robusthed</v>
      </c>
      <c r="M44" s="175"/>
      <c r="N44" s="175"/>
      <c r="O44" s="176">
        <f>SUM(O45:O46)</f>
        <v>1.3947092718700892E-2</v>
      </c>
      <c r="P44" s="176">
        <f>SUM(P45:P46)</f>
        <v>0</v>
      </c>
      <c r="Q44" s="176">
        <f>SUM(Q45:Q46)</f>
        <v>0</v>
      </c>
      <c r="R44" s="177">
        <f>SUM(R45:R46)</f>
        <v>0</v>
      </c>
      <c r="S44" s="176">
        <f>SUM(S45:S46)</f>
        <v>0</v>
      </c>
    </row>
    <row r="45" spans="12:19" outlineLevel="1" x14ac:dyDescent="0.45">
      <c r="L45" s="179"/>
      <c r="M45" s="166" t="str">
        <f>Arbejdsark!C154</f>
        <v>Private uderum/altaner</v>
      </c>
      <c r="N45" s="166" t="str">
        <f>Arbejdsark!D154</f>
        <v>SOC1.6+SOC3.3
Vægtning: SOC1.6 pkt. 1.3 og 1.5 + SOC3.3 pkt 2.4.5</v>
      </c>
      <c r="O45" s="167">
        <f>Arbejdsark!E154*1/3</f>
        <v>9.0361445783132543E-4</v>
      </c>
      <c r="P45" s="168">
        <f>S45*O45</f>
        <v>0</v>
      </c>
      <c r="Q45" s="167">
        <f>IF(Projektforudsætninger!$B$14="Ja",Arbejdsark!R154*1/3,0%)</f>
        <v>0</v>
      </c>
      <c r="R45" s="169">
        <f>S45*Q45</f>
        <v>0</v>
      </c>
      <c r="S45" s="170">
        <f>IF(Arbejdsark!N154=Arbejdsark!L155,Arbejdsark!M155,IF(Arbejdsark!N154=Arbejdsark!L156,Arbejdsark!M156,IF(Arbejdsark!N154=Arbejdsark!L157,Arbejdsark!M157,0)))</f>
        <v>0</v>
      </c>
    </row>
    <row r="46" spans="12:19" outlineLevel="1" x14ac:dyDescent="0.45">
      <c r="L46" s="179"/>
      <c r="M46" s="166" t="str">
        <f>Arbejdsark!C159</f>
        <v>Forebyggelse af byggeskader</v>
      </c>
      <c r="N46" s="166" t="str">
        <f>Arbejdsark!D159</f>
        <v>ECO2.2
Vægtning: ECO2.2 pkt. 2</v>
      </c>
      <c r="O46" s="167">
        <f>Arbejdsark!E159</f>
        <v>1.3043478260869566E-2</v>
      </c>
      <c r="P46" s="168">
        <f>S46*O46</f>
        <v>0</v>
      </c>
      <c r="Q46" s="167">
        <f>IF(Projektforudsætninger!$B$14="Ja",Arbejdsark!R159,0%)</f>
        <v>0</v>
      </c>
      <c r="R46" s="169">
        <f>S46*Q46</f>
        <v>0</v>
      </c>
      <c r="S46" s="170">
        <f>IF(Arbejdsark!N159=Arbejdsark!L160,Arbejdsark!M160,IF(Arbejdsark!N159=Arbejdsark!L161,Arbejdsark!M161,IF(Arbejdsark!N159=Arbejdsark!L162,Arbejdsark!M162,0)))</f>
        <v>0</v>
      </c>
    </row>
    <row r="47" spans="12:19" ht="14.65" outlineLevel="1" thickBot="1" x14ac:dyDescent="0.5">
      <c r="L47" s="187"/>
      <c r="M47" s="181"/>
      <c r="N47" s="181"/>
      <c r="O47" s="182"/>
      <c r="P47" s="183"/>
      <c r="Q47" s="182"/>
      <c r="R47" s="184"/>
      <c r="S47" s="185"/>
    </row>
    <row r="48" spans="12:19" ht="14.65" outlineLevel="1" thickBot="1" x14ac:dyDescent="0.5">
      <c r="L48" s="155" t="str">
        <f>Arbejdsark!A165</f>
        <v>SOCIAL KVALITET</v>
      </c>
      <c r="M48" s="156"/>
      <c r="N48" s="156"/>
      <c r="O48" s="157" t="e">
        <f>SUM(O49,O55,O58,O69,O74,O78,O82,O87,O91,O97)</f>
        <v>#REF!</v>
      </c>
      <c r="P48" s="157" t="e">
        <f>SUM(P49,P55,P58,P69,P74,P78,P82,P87,P91,P97)</f>
        <v>#REF!</v>
      </c>
      <c r="Q48" s="157">
        <f>SUM(Q49,Q55,Q58,Q69,Q74,Q78,Q82,Q87,Q91,Q97)</f>
        <v>0</v>
      </c>
      <c r="R48" s="158" t="e">
        <f>SUM(R49,R55,R58,R69,R74,R78,R82,R87,R91,R97)</f>
        <v>#REF!</v>
      </c>
      <c r="S48" s="157"/>
    </row>
    <row r="49" spans="12:19" outlineLevel="1" x14ac:dyDescent="0.45">
      <c r="L49" s="161" t="str">
        <f>Arbejdsark!A51</f>
        <v>Beplantning</v>
      </c>
      <c r="M49" s="162"/>
      <c r="N49" s="162"/>
      <c r="O49" s="163">
        <f>SUM(O50:O53)</f>
        <v>5.0256024096385545E-3</v>
      </c>
      <c r="P49" s="163">
        <f>SUM(P50:P53)</f>
        <v>0</v>
      </c>
      <c r="Q49" s="163">
        <f>SUM(Q50:Q53)</f>
        <v>0</v>
      </c>
      <c r="R49" s="164">
        <f>SUM(R50:R53)</f>
        <v>0</v>
      </c>
      <c r="S49" s="163">
        <f>SUM(S50:S53)</f>
        <v>0</v>
      </c>
    </row>
    <row r="50" spans="12:19" ht="0.4" customHeight="1" outlineLevel="1" x14ac:dyDescent="0.45">
      <c r="L50" s="178"/>
      <c r="M50" s="166" t="str">
        <f>Arbejdsark!C51</f>
        <v>Plantearter</v>
      </c>
      <c r="N50" s="166" t="str">
        <f>Arbejdsark!D51</f>
        <v>ENV2.3 + SOC1.6
Vægtning: ENV2.3 pkt. 2.2 + SOC1.6 pkt. 2.3</v>
      </c>
      <c r="O50" s="167">
        <f>Arbejdsark!E51*1/3</f>
        <v>6.7620481927710852E-4</v>
      </c>
      <c r="P50" s="168">
        <f>S50*O50</f>
        <v>0</v>
      </c>
      <c r="Q50" s="167">
        <f>IF(Projektforudsætninger!$B$14="Ja",Arbejdsark!R51*1/3,0%)</f>
        <v>0</v>
      </c>
      <c r="R50" s="169">
        <f>S50*Q50</f>
        <v>0</v>
      </c>
      <c r="S50" s="170">
        <f>IF(Arbejdsark!N51=Arbejdsark!L52,Arbejdsark!M52,IF(Arbejdsark!N51=Arbejdsark!L53,Arbejdsark!M53,IF(Arbejdsark!N51=Arbejdsark!L54,Arbejdsark!M54,0)))</f>
        <v>0</v>
      </c>
    </row>
    <row r="51" spans="12:19" ht="0.4" customHeight="1" outlineLevel="1" x14ac:dyDescent="0.45">
      <c r="L51" s="179"/>
      <c r="M51" s="166" t="str">
        <f>Arbejdsark!C58</f>
        <v>Vedligehold af beplantning</v>
      </c>
      <c r="N51" s="166" t="str">
        <f>Arbejdsark!D58</f>
        <v>Vægtning: SOC1.6 pkt. 2.4</v>
      </c>
      <c r="O51" s="167">
        <f>Arbejdsark!E58</f>
        <v>1.8072289156626509E-3</v>
      </c>
      <c r="P51" s="168">
        <f>S51*O51</f>
        <v>0</v>
      </c>
      <c r="Q51" s="167">
        <f>IF(Projektforudsætninger!$B$14="Ja",Arbejdsark!R58,0%)</f>
        <v>0</v>
      </c>
      <c r="R51" s="169">
        <f>S51*Q51</f>
        <v>0</v>
      </c>
      <c r="S51" s="170">
        <f>IF(Arbejdsark!N58=Arbejdsark!L59,Arbejdsark!M59,IF(Arbejdsark!N58=Arbejdsark!L60,Arbejdsark!M60,IF(Arbejdsark!N58=Arbejdsark!L61,Arbejdsark!M61,0)))</f>
        <v>0</v>
      </c>
    </row>
    <row r="52" spans="12:19" ht="0.4" customHeight="1" outlineLevel="1" x14ac:dyDescent="0.45">
      <c r="L52" s="179"/>
      <c r="M52" s="166" t="str">
        <f>Arbejdsark!C63</f>
        <v>Læ, sol og skygge</v>
      </c>
      <c r="N52" s="166" t="str">
        <f>Arbejdsark!D63</f>
        <v>SOC1.6
Vægtning: 20% af SOC1.6 pkt 2.8</v>
      </c>
      <c r="O52" s="189">
        <f>Arbejdsark!E63</f>
        <v>5.421686746987953E-4</v>
      </c>
      <c r="P52" s="168">
        <f>S52*O52</f>
        <v>0</v>
      </c>
      <c r="Q52" s="167">
        <f>IF(Projektforudsætninger!$B$14="Ja",Arbejdsark!R63,0%)</f>
        <v>0</v>
      </c>
      <c r="R52" s="169">
        <f>S52*Q52</f>
        <v>0</v>
      </c>
      <c r="S52" s="170">
        <f>IF(Arbejdsark!N63=Arbejdsark!L64,Arbejdsark!M64,IF(Arbejdsark!N63=Arbejdsark!L65,Arbejdsark!M65,IF(Arbejdsark!N63=Arbejdsark!L66,Arbejdsark!M66,0)))</f>
        <v>0</v>
      </c>
    </row>
    <row r="53" spans="12:19" ht="0.4" customHeight="1" outlineLevel="1" x14ac:dyDescent="0.45">
      <c r="L53" s="179"/>
      <c r="M53" s="166" t="str">
        <f>Arbejdsark!C68</f>
        <v>Beplantning på tag og facade</v>
      </c>
      <c r="N53" s="166" t="str">
        <f>Arbejdsark!D68</f>
        <v>SOC1.6
Vægtning: SOC1.6 pkt. 1.2 + 1.6</v>
      </c>
      <c r="O53" s="167">
        <f>Arbejdsark!E68</f>
        <v>2E-3</v>
      </c>
      <c r="P53" s="168">
        <f>S53*O53</f>
        <v>0</v>
      </c>
      <c r="Q53" s="167">
        <f>IF(Projektforudsætninger!$B$14="Ja",Arbejdsark!R68,0%)</f>
        <v>0</v>
      </c>
      <c r="R53" s="169">
        <f>S53*Q53</f>
        <v>0</v>
      </c>
      <c r="S53" s="170">
        <f>IF(Arbejdsark!N68=Arbejdsark!L69,Arbejdsark!M69,IF(Arbejdsark!N68=Arbejdsark!L70,Arbejdsark!M70,IF(Arbejdsark!N68=Arbejdsark!L71,Arbejdsark!M71,0)))</f>
        <v>0</v>
      </c>
    </row>
    <row r="54" spans="12:19" ht="0.4" customHeight="1" outlineLevel="1" x14ac:dyDescent="0.45">
      <c r="L54" s="190"/>
      <c r="M54" s="191"/>
      <c r="N54" s="191"/>
      <c r="O54" s="192"/>
      <c r="P54" s="192"/>
      <c r="Q54" s="192"/>
      <c r="R54" s="193"/>
      <c r="S54" s="194"/>
    </row>
    <row r="55" spans="12:19" outlineLevel="1" x14ac:dyDescent="0.45">
      <c r="L55" s="174" t="str">
        <f>Arbejdsark!A154</f>
        <v>Robusthed</v>
      </c>
      <c r="M55" s="175"/>
      <c r="N55" s="175"/>
      <c r="O55" s="176">
        <f>SUM(O56)</f>
        <v>1.8072289156626509E-3</v>
      </c>
      <c r="P55" s="176">
        <f>SUM(P56)</f>
        <v>0</v>
      </c>
      <c r="Q55" s="176">
        <f>SUM(Q56)</f>
        <v>0</v>
      </c>
      <c r="R55" s="177">
        <f>SUM(R56)</f>
        <v>0</v>
      </c>
      <c r="S55" s="176">
        <f>SUM(S56)</f>
        <v>0</v>
      </c>
    </row>
    <row r="56" spans="12:19" ht="15.6" hidden="1" customHeight="1" outlineLevel="1" x14ac:dyDescent="0.45">
      <c r="L56" s="179"/>
      <c r="M56" s="166" t="str">
        <f>Arbejdsark!C154</f>
        <v>Private uderum/altaner</v>
      </c>
      <c r="N56" s="166" t="str">
        <f>Arbejdsark!D154</f>
        <v>SOC1.6+SOC3.3
Vægtning: SOC1.6 pkt. 1.3 og 1.5 + SOC3.3 pkt 2.4.5</v>
      </c>
      <c r="O56" s="167">
        <f>Arbejdsark!E154*2/3</f>
        <v>1.8072289156626509E-3</v>
      </c>
      <c r="P56" s="168">
        <f>S56*O56</f>
        <v>0</v>
      </c>
      <c r="Q56" s="167">
        <f>IF(Projektforudsætninger!$B$14="Ja",Arbejdsark!R154*2/3,0%)</f>
        <v>0</v>
      </c>
      <c r="R56" s="169">
        <f>S56*Q56</f>
        <v>0</v>
      </c>
      <c r="S56" s="170">
        <f>IF(Arbejdsark!N154=Arbejdsark!L155,Arbejdsark!M155,IF(Arbejdsark!N154=Arbejdsark!L156,Arbejdsark!M156,IF(Arbejdsark!N154=Arbejdsark!L157,Arbejdsark!M157,0)))</f>
        <v>0</v>
      </c>
    </row>
    <row r="57" spans="12:19" ht="14.1" hidden="1" customHeight="1" outlineLevel="1" x14ac:dyDescent="0.45">
      <c r="L57" s="190"/>
      <c r="M57" s="191"/>
      <c r="N57" s="191"/>
      <c r="O57" s="192"/>
      <c r="P57" s="192"/>
      <c r="Q57" s="192"/>
      <c r="R57" s="193"/>
      <c r="S57" s="194"/>
    </row>
    <row r="58" spans="12:19" outlineLevel="1" x14ac:dyDescent="0.45">
      <c r="L58" s="174" t="str">
        <f>Arbejdsark!A167</f>
        <v>Indeklima</v>
      </c>
      <c r="M58" s="175"/>
      <c r="N58" s="175"/>
      <c r="O58" s="176">
        <f>SUM(O59:O67)</f>
        <v>9.9397590361445784E-2</v>
      </c>
      <c r="P58" s="176" t="e">
        <f>SUM(P59:P67)</f>
        <v>#REF!</v>
      </c>
      <c r="Q58" s="176">
        <f>SUM(Q59:Q67)</f>
        <v>0</v>
      </c>
      <c r="R58" s="177" t="e">
        <f>SUM(R59:R67)</f>
        <v>#REF!</v>
      </c>
      <c r="S58" s="176" t="e">
        <f>SUM(S59:S67)</f>
        <v>#REF!</v>
      </c>
    </row>
    <row r="59" spans="12:19" ht="15" customHeight="1" outlineLevel="1" x14ac:dyDescent="0.45">
      <c r="L59" s="178"/>
      <c r="M59" s="166" t="str">
        <f>Arbejdsark!C167</f>
        <v>Temperatur</v>
      </c>
      <c r="N59" s="166" t="str">
        <f>Arbejdsark!D167</f>
        <v>SOC1.1
Vægtning: SOC1.1 pkt. 1 + 4</v>
      </c>
      <c r="O59" s="167">
        <f>Arbejdsark!E167</f>
        <v>2.710843373493976E-2</v>
      </c>
      <c r="P59" s="168">
        <f t="shared" ref="P59:P67" si="2">S59*O59</f>
        <v>0</v>
      </c>
      <c r="Q59" s="167">
        <f>IF(Projektforudsætninger!$B$14="Ja",Arbejdsark!R167,0%)</f>
        <v>0</v>
      </c>
      <c r="R59" s="169">
        <f t="shared" ref="R59:R67" si="3">S59*Q59</f>
        <v>0</v>
      </c>
      <c r="S59" s="170">
        <f>IF(Arbejdsark!N167=Arbejdsark!L168,Arbejdsark!M168,IF(Arbejdsark!N167=Arbejdsark!L169,Arbejdsark!M169,IF(Arbejdsark!N167=Arbejdsark!L170,Arbejdsark!M170,0)))</f>
        <v>0</v>
      </c>
    </row>
    <row r="60" spans="12:19" ht="15" customHeight="1" outlineLevel="1" x14ac:dyDescent="0.45">
      <c r="L60" s="179"/>
      <c r="M60" s="166" t="str">
        <f>Arbejdsark!C172</f>
        <v>Træk</v>
      </c>
      <c r="N60" s="166" t="str">
        <f>Arbejdsark!D172</f>
        <v>SOC1.1
Vægtning: SOC1.1 pkt. 2 + 5</v>
      </c>
      <c r="O60" s="167">
        <f>Arbejdsark!E172</f>
        <v>9.0361445783132526E-3</v>
      </c>
      <c r="P60" s="168">
        <f t="shared" si="2"/>
        <v>0</v>
      </c>
      <c r="Q60" s="167">
        <f>IF(Projektforudsætninger!$B$14="Ja",Arbejdsark!R172,0%)</f>
        <v>0</v>
      </c>
      <c r="R60" s="169">
        <f t="shared" si="3"/>
        <v>0</v>
      </c>
      <c r="S60" s="170">
        <f>IF(Arbejdsark!N172=Arbejdsark!L173,Arbejdsark!M173,IF(Arbejdsark!N172=Arbejdsark!L174,Arbejdsark!M174,IF(Arbejdsark!N172=Arbejdsark!L175,Arbejdsark!M175,0)))</f>
        <v>0</v>
      </c>
    </row>
    <row r="61" spans="12:19" ht="16.5" customHeight="1" outlineLevel="1" x14ac:dyDescent="0.45">
      <c r="L61" s="179"/>
      <c r="M61" s="166" t="str">
        <f>Arbejdsark!C177</f>
        <v>Oplevede temperaturforskelle i rummet</v>
      </c>
      <c r="N61" s="166" t="str">
        <f>Arbejdsark!D177</f>
        <v>SOC1.1
Vægtning: SOC1.1 pkt. 3 + 6</v>
      </c>
      <c r="O61" s="167">
        <f>Arbejdsark!E177</f>
        <v>9.0361445783132526E-3</v>
      </c>
      <c r="P61" s="168">
        <f t="shared" si="2"/>
        <v>0</v>
      </c>
      <c r="Q61" s="167">
        <f>IF(Projektforudsætninger!$B$14="Ja",Arbejdsark!R177,0%)</f>
        <v>0</v>
      </c>
      <c r="R61" s="169">
        <f t="shared" si="3"/>
        <v>0</v>
      </c>
      <c r="S61" s="170">
        <f>IF(Arbejdsark!N177=Arbejdsark!L178,Arbejdsark!M178,IF(Arbejdsark!N177=Arbejdsark!L179,Arbejdsark!M179,IF(Arbejdsark!N177=Arbejdsark!L180,Arbejdsark!M180,0)))</f>
        <v>0</v>
      </c>
    </row>
    <row r="62" spans="12:19" ht="14.1" customHeight="1" outlineLevel="1" x14ac:dyDescent="0.45">
      <c r="L62" s="179"/>
      <c r="M62" s="166" t="str">
        <f>Arbejdsark!C187</f>
        <v>Luftkvalitet - mekanisk ventilation</v>
      </c>
      <c r="N62" s="166" t="str">
        <f>Arbejdsark!D187</f>
        <v>SOC1.2
Vægtning: SOC1.2 pkt. 2</v>
      </c>
      <c r="O62" s="167">
        <f>Arbejdsark!E187</f>
        <v>1.355421686746988E-2</v>
      </c>
      <c r="P62" s="168">
        <f>S62*O62</f>
        <v>0</v>
      </c>
      <c r="Q62" s="167">
        <f>IF(Projektforudsætninger!$B$14="Ja",Arbejdsark!R187,0%)</f>
        <v>0</v>
      </c>
      <c r="R62" s="169">
        <f>S62*Q62</f>
        <v>0</v>
      </c>
      <c r="S62" s="170">
        <f>IF(Arbejdsark!N187=Arbejdsark!L188,Arbejdsark!M188,IF(Arbejdsark!N187=Arbejdsark!L189,Arbejdsark!M189,IF(Arbejdsark!N187=Arbejdsark!L190,Arbejdsark!M190,0)))</f>
        <v>0</v>
      </c>
    </row>
    <row r="63" spans="12:19" ht="15" customHeight="1" outlineLevel="1" x14ac:dyDescent="0.45">
      <c r="L63" s="179"/>
      <c r="M63" s="166" t="str">
        <f>Arbejdsark!C192</f>
        <v>Luftkvalitet - afgasning</v>
      </c>
      <c r="N63" s="166" t="str">
        <f>Arbejdsark!D192</f>
        <v>Vægtning: SOC1.2 pkt. 1</v>
      </c>
      <c r="O63" s="167">
        <f>Arbejdsark!E192</f>
        <v>1.355421686746988E-2</v>
      </c>
      <c r="P63" s="168">
        <f t="shared" si="2"/>
        <v>0</v>
      </c>
      <c r="Q63" s="167">
        <f>IF(Projektforudsætninger!$B$14="Ja",Arbejdsark!R192,0%)</f>
        <v>0</v>
      </c>
      <c r="R63" s="169">
        <f t="shared" si="3"/>
        <v>0</v>
      </c>
      <c r="S63" s="170">
        <f>IF(Arbejdsark!N192=Arbejdsark!L193,Arbejdsark!M193,IF(Arbejdsark!N191=Arbejdsark!L194,Arbejdsark!M194,IF(Arbejdsark!N192=Arbejdsark!L195,Arbejdsark!M195,0)))</f>
        <v>0</v>
      </c>
    </row>
    <row r="64" spans="12:19" ht="17.100000000000001" customHeight="1" outlineLevel="1" x14ac:dyDescent="0.45">
      <c r="L64" s="179"/>
      <c r="M64" s="166" t="str">
        <f>Arbejdsark!C197</f>
        <v>Lys</v>
      </c>
      <c r="N64" s="166" t="str">
        <f>Arbejdsark!D197</f>
        <v>SOC1.4 
Vægtning: SOC1.4 pkt. 1 + 2</v>
      </c>
      <c r="O64" s="167">
        <f>Arbejdsark!E197</f>
        <v>1.2198795180722892E-2</v>
      </c>
      <c r="P64" s="168">
        <f t="shared" si="2"/>
        <v>0</v>
      </c>
      <c r="Q64" s="167">
        <f>IF(Projektforudsætninger!$B$14="Ja",Arbejdsark!R197,0%)</f>
        <v>0</v>
      </c>
      <c r="R64" s="169">
        <f t="shared" si="3"/>
        <v>0</v>
      </c>
      <c r="S64" s="170">
        <f>IF(Arbejdsark!N197=Arbejdsark!L198,Arbejdsark!M198,IF(Arbejdsark!N197=Arbejdsark!L199,Arbejdsark!M199,IF(Arbejdsark!N197=Arbejdsark!L200,Arbejdsark!M200,0)))</f>
        <v>0</v>
      </c>
    </row>
    <row r="65" spans="12:19" ht="15.6" customHeight="1" outlineLevel="1" x14ac:dyDescent="0.45">
      <c r="L65" s="179"/>
      <c r="M65" s="166" t="str">
        <f>Arbejdsark!C202</f>
        <v>Sollys</v>
      </c>
      <c r="N65" s="166" t="str">
        <f>Arbejdsark!D202</f>
        <v>SOC1.4 
Vægtning: SOC1.4 pkt. 8</v>
      </c>
      <c r="O65" s="167">
        <f>Arbejdsark!E202</f>
        <v>6.7771084337349399E-3</v>
      </c>
      <c r="P65" s="168">
        <f t="shared" si="2"/>
        <v>0</v>
      </c>
      <c r="Q65" s="167">
        <f>IF(Projektforudsætninger!$B$14="Ja",Arbejdsark!R202,0%)</f>
        <v>0</v>
      </c>
      <c r="R65" s="169">
        <f t="shared" si="3"/>
        <v>0</v>
      </c>
      <c r="S65" s="170">
        <f>IF(Arbejdsark!N202=Arbejdsark!L203,Arbejdsark!M203,IF(Arbejdsark!N202=Arbejdsark!L204,Arbejdsark!M204,IF(Arbejdsark!N202=Arbejdsark!L205,Arbejdsark!M205,0)))</f>
        <v>0</v>
      </c>
    </row>
    <row r="66" spans="12:19" ht="17.649999999999999" customHeight="1" outlineLevel="1" x14ac:dyDescent="0.45">
      <c r="L66" s="179"/>
      <c r="M66" s="166" t="str">
        <f>Arbejdsark!C207</f>
        <v>Farvegengivelse</v>
      </c>
      <c r="N66" s="166" t="str">
        <f>Arbejdsark!D207</f>
        <v>SOC1.4 
Vægtning: SOC1.4 pkt. 7</v>
      </c>
      <c r="O66" s="167">
        <f>Arbejdsark!E207</f>
        <v>4.0662650602409636E-3</v>
      </c>
      <c r="P66" s="168">
        <f t="shared" si="2"/>
        <v>0</v>
      </c>
      <c r="Q66" s="167">
        <f>IF(Projektforudsætninger!$B$14="Ja",Arbejdsark!R207,0%)</f>
        <v>0</v>
      </c>
      <c r="R66" s="169">
        <f t="shared" si="3"/>
        <v>0</v>
      </c>
      <c r="S66" s="170">
        <f>IF(Arbejdsark!N207=Arbejdsark!L208,Arbejdsark!M208,IF(Arbejdsark!N207=Arbejdsark!L209,Arbejdsark!M209,IF(Arbejdsark!N207=Arbejdsark!L210,Arbejdsark!M210,0)))</f>
        <v>0</v>
      </c>
    </row>
    <row r="67" spans="12:19" ht="14.65" customHeight="1" outlineLevel="1" x14ac:dyDescent="0.45">
      <c r="L67" s="179"/>
      <c r="M67" s="166" t="str">
        <f>Arbejdsark!C212</f>
        <v>Udsyn</v>
      </c>
      <c r="N67" s="166" t="str">
        <f>Arbejdsark!D212</f>
        <v>SOC1.4 
Vægtning: SOC1.4 pkt. 3</v>
      </c>
      <c r="O67" s="167">
        <f>Arbejdsark!E212</f>
        <v>4.0662650602409636E-3</v>
      </c>
      <c r="P67" s="168" t="e">
        <f t="shared" si="2"/>
        <v>#REF!</v>
      </c>
      <c r="Q67" s="167">
        <f>IF(Projektforudsætninger!$B$14="Ja",Arbejdsark!R212,0%)</f>
        <v>0</v>
      </c>
      <c r="R67" s="169" t="e">
        <f t="shared" si="3"/>
        <v>#REF!</v>
      </c>
      <c r="S67" s="170" t="e">
        <f>IF(Arbejdsark!N212=Arbejdsark!#REF!,Arbejdsark!#REF!,IF(Arbejdsark!N212=Arbejdsark!L213,Arbejdsark!M213,IF(Arbejdsark!N212=Arbejdsark!L214,Arbejdsark!M214,IF(Arbejdsark!N212=Arbejdsark!L215,Arbejdsark!M215,0))))</f>
        <v>#REF!</v>
      </c>
    </row>
    <row r="68" spans="12:19" ht="16.5" customHeight="1" outlineLevel="1" x14ac:dyDescent="0.45">
      <c r="L68" s="179"/>
      <c r="M68" s="166"/>
      <c r="N68" s="166"/>
      <c r="O68" s="167"/>
      <c r="P68" s="168"/>
      <c r="Q68" s="167"/>
      <c r="R68" s="169"/>
      <c r="S68" s="170"/>
    </row>
    <row r="69" spans="12:19" outlineLevel="1" x14ac:dyDescent="0.45">
      <c r="L69" s="174" t="str">
        <f>Arbejdsark!A217</f>
        <v>Brugerstyring</v>
      </c>
      <c r="M69" s="175"/>
      <c r="N69" s="175"/>
      <c r="O69" s="176">
        <f>SUM(O70:O72)</f>
        <v>1.8072289156626505E-2</v>
      </c>
      <c r="P69" s="176">
        <f>SUM(P70:P72)</f>
        <v>0</v>
      </c>
      <c r="Q69" s="176">
        <f>SUM(Q70:Q72)</f>
        <v>0</v>
      </c>
      <c r="R69" s="177">
        <f>SUM(R70:R72)</f>
        <v>0</v>
      </c>
      <c r="S69" s="176">
        <f>SUM(S70:S72)</f>
        <v>0</v>
      </c>
    </row>
    <row r="70" spans="12:19" outlineLevel="1" x14ac:dyDescent="0.45">
      <c r="L70" s="178"/>
      <c r="M70" s="166" t="str">
        <f>Arbejdsark!C217</f>
        <v>Temperatur</v>
      </c>
      <c r="N70" s="166" t="str">
        <f>Arbejdsark!D217</f>
        <v>SOC1.5
Vægtning: SOC1.5 pkt. 5</v>
      </c>
      <c r="O70" s="167">
        <f>Arbejdsark!E217</f>
        <v>3.6144578313253013E-3</v>
      </c>
      <c r="P70" s="168">
        <f>S70*O70</f>
        <v>0</v>
      </c>
      <c r="Q70" s="167">
        <f>IF(Projektforudsætninger!$B$14="Ja",Arbejdsark!R217,0%)</f>
        <v>0</v>
      </c>
      <c r="R70" s="169">
        <f>S70*Q70</f>
        <v>0</v>
      </c>
      <c r="S70" s="170">
        <f>IF(Arbejdsark!N217=Arbejdsark!L218,Arbejdsark!M218,IF(Arbejdsark!N217=Arbejdsark!L219,Arbejdsark!M219,IF(Arbejdsark!N217=Arbejdsark!L220,Arbejdsark!M220,0)))</f>
        <v>0</v>
      </c>
    </row>
    <row r="71" spans="12:19" outlineLevel="1" x14ac:dyDescent="0.45">
      <c r="L71" s="179"/>
      <c r="M71" s="166" t="str">
        <f>Arbejdsark!C222</f>
        <v>Luftkvalitet</v>
      </c>
      <c r="N71" s="166" t="str">
        <f>Arbejdsark!D222</f>
        <v>SOC1.5
Vægtning: SOC1.5 pkt. 1</v>
      </c>
      <c r="O71" s="167">
        <f>Arbejdsark!E222</f>
        <v>7.2289156626506026E-3</v>
      </c>
      <c r="P71" s="168">
        <f>S71*O71</f>
        <v>0</v>
      </c>
      <c r="Q71" s="167">
        <f>IF(Projektforudsætninger!$B$14="Ja",Arbejdsark!R222,0%)</f>
        <v>0</v>
      </c>
      <c r="R71" s="169">
        <f>S71*Q71</f>
        <v>0</v>
      </c>
      <c r="S71" s="170">
        <f>IF(Arbejdsark!N222=Arbejdsark!L223,Arbejdsark!M223,IF(Arbejdsark!N222=Arbejdsark!L224,Arbejdsark!M224,IF(Arbejdsark!N222=Arbejdsark!L225,Arbejdsark!M225,0)))</f>
        <v>0</v>
      </c>
    </row>
    <row r="72" spans="12:19" outlineLevel="1" x14ac:dyDescent="0.45">
      <c r="L72" s="179"/>
      <c r="M72" s="166" t="str">
        <f>Arbejdsark!C227</f>
        <v>Lys</v>
      </c>
      <c r="N72" s="166" t="str">
        <f>Arbejdsark!D227</f>
        <v>SOC1.5
Vægtning: SOC1.5 pkt. 2</v>
      </c>
      <c r="O72" s="167">
        <f>Arbejdsark!E227</f>
        <v>7.2289156626506026E-3</v>
      </c>
      <c r="P72" s="168">
        <f>S72*O72</f>
        <v>0</v>
      </c>
      <c r="Q72" s="167">
        <f>IF(Projektforudsætninger!$B$14="Ja",Arbejdsark!R227,0%)</f>
        <v>0</v>
      </c>
      <c r="R72" s="169">
        <f>S72*Q72</f>
        <v>0</v>
      </c>
      <c r="S72" s="170">
        <f>IF(Arbejdsark!N227=Arbejdsark!L228,Arbejdsark!M228,IF(Arbejdsark!N227=Arbejdsark!L229,Arbejdsark!M229,IF(Arbejdsark!N227=Arbejdsark!L230,Arbejdsark!M230,IF(Arbejdsark!N227=Arbejdsark!L231,Arbejdsark!M231,0))))</f>
        <v>0</v>
      </c>
    </row>
    <row r="73" spans="12:19" outlineLevel="1" x14ac:dyDescent="0.45">
      <c r="L73" s="179"/>
      <c r="M73" s="166"/>
      <c r="N73" s="166"/>
      <c r="O73" s="167"/>
      <c r="P73" s="168"/>
      <c r="Q73" s="167"/>
      <c r="R73" s="169"/>
      <c r="S73" s="170"/>
    </row>
    <row r="74" spans="12:19" outlineLevel="1" x14ac:dyDescent="0.45">
      <c r="L74" s="174" t="str">
        <f>Arbejdsark!A234</f>
        <v>Tilgængelighed</v>
      </c>
      <c r="M74" s="175"/>
      <c r="N74" s="175"/>
      <c r="O74" s="176" t="e">
        <f>SUM(O75:O76)</f>
        <v>#REF!</v>
      </c>
      <c r="P74" s="176" t="e">
        <f>SUM(P75:P76)</f>
        <v>#REF!</v>
      </c>
      <c r="Q74" s="176">
        <f>SUM(Q75:Q76)</f>
        <v>0</v>
      </c>
      <c r="R74" s="177" t="e">
        <f>SUM(R75:R76)</f>
        <v>#REF!</v>
      </c>
      <c r="S74" s="176" t="e">
        <f>SUM(S75:S76)</f>
        <v>#REF!</v>
      </c>
    </row>
    <row r="75" spans="12:19" outlineLevel="1" x14ac:dyDescent="0.45">
      <c r="L75" s="178"/>
      <c r="M75" s="166" t="str">
        <f>Arbejdsark!C234</f>
        <v>Tilgængelighed generelt</v>
      </c>
      <c r="N75" s="166" t="str">
        <f>Arbejdsark!D234</f>
        <v>SOC2.1
Vægtning: 50 % af SOC2.1</v>
      </c>
      <c r="O75" s="167">
        <f>Arbejdsark!E234</f>
        <v>1.355421686746988E-2</v>
      </c>
      <c r="P75" s="168">
        <f t="shared" ref="P75:P76" si="4">S75*O75</f>
        <v>0</v>
      </c>
      <c r="Q75" s="167">
        <f>IF(Projektforudsætninger!$B$14="Ja",Arbejdsark!R234,0%)</f>
        <v>0</v>
      </c>
      <c r="R75" s="169">
        <f t="shared" ref="R75:R76" si="5">S75*Q75</f>
        <v>0</v>
      </c>
      <c r="S75" s="170">
        <f>IF(Arbejdsark!N234=Arbejdsark!L235,Arbejdsark!M235,IF(Arbejdsark!N234=Arbejdsark!L236,Arbejdsark!M236,IF(Arbejdsark!N234=Arbejdsark!L237,Arbejdsark!M237,0)))</f>
        <v>0</v>
      </c>
    </row>
    <row r="76" spans="12:19" outlineLevel="1" x14ac:dyDescent="0.45">
      <c r="L76" s="179"/>
      <c r="M76" s="166" t="e">
        <f>Arbejdsark!#REF!</f>
        <v>#REF!</v>
      </c>
      <c r="N76" s="166" t="e">
        <f>Arbejdsark!#REF!</f>
        <v>#REF!</v>
      </c>
      <c r="O76" s="167" t="e">
        <f>Arbejdsark!#REF!</f>
        <v>#REF!</v>
      </c>
      <c r="P76" s="168" t="e">
        <f t="shared" si="4"/>
        <v>#REF!</v>
      </c>
      <c r="Q76" s="167">
        <f>IF(Projektforudsætninger!$B$14="Ja",Arbejdsark!#REF!,0%)</f>
        <v>0</v>
      </c>
      <c r="R76" s="169" t="e">
        <f t="shared" si="5"/>
        <v>#REF!</v>
      </c>
      <c r="S76" s="170" t="e">
        <f>IF(Arbejdsark!#REF!=Arbejdsark!#REF!,Arbejdsark!#REF!,IF(Arbejdsark!#REF!=Arbejdsark!#REF!,Arbejdsark!#REF!,IF(Arbejdsark!#REF!=Arbejdsark!#REF!,Arbejdsark!#REF!,0)))</f>
        <v>#REF!</v>
      </c>
    </row>
    <row r="77" spans="12:19" outlineLevel="1" x14ac:dyDescent="0.45">
      <c r="L77" s="179"/>
      <c r="M77" s="166"/>
      <c r="N77" s="166"/>
      <c r="O77" s="167"/>
      <c r="P77" s="168"/>
      <c r="Q77" s="167"/>
      <c r="R77" s="169"/>
      <c r="S77" s="170"/>
    </row>
    <row r="78" spans="12:19" ht="14.1" customHeight="1" outlineLevel="1" x14ac:dyDescent="0.45">
      <c r="L78" s="174" t="str">
        <f>Arbejdsark!A239</f>
        <v>Udearealer</v>
      </c>
      <c r="M78" s="175"/>
      <c r="N78" s="175"/>
      <c r="O78" s="176">
        <f>SUM(O79:O80)</f>
        <v>1.0301204819277109E-2</v>
      </c>
      <c r="P78" s="176">
        <f>SUM(P79:P80)</f>
        <v>0</v>
      </c>
      <c r="Q78" s="176">
        <f>SUM(Q79:Q80)</f>
        <v>0</v>
      </c>
      <c r="R78" s="177">
        <f>SUM(R79:R80)</f>
        <v>0</v>
      </c>
      <c r="S78" s="176">
        <f>SUM(S79:S80)</f>
        <v>0</v>
      </c>
    </row>
    <row r="79" spans="12:19" ht="1.5" hidden="1" customHeight="1" outlineLevel="1" x14ac:dyDescent="0.45">
      <c r="L79" s="179"/>
      <c r="M79" s="166" t="str">
        <f>Arbejdsark!C239</f>
        <v>Inventar</v>
      </c>
      <c r="N79" s="166" t="str">
        <f>Arbejdsark!D239</f>
        <v>SOC1.6
Vægtning: SOC1.6 pkt. 2.2, 2.6 + 80% af 2.8</v>
      </c>
      <c r="O79" s="167">
        <f>Arbejdsark!E239</f>
        <v>6.6867469879518084E-3</v>
      </c>
      <c r="P79" s="168">
        <f>S79*O79</f>
        <v>0</v>
      </c>
      <c r="Q79" s="167">
        <f>IF(Projektforudsætninger!$B$14="Ja",Arbejdsark!R239,0%)</f>
        <v>0</v>
      </c>
      <c r="R79" s="169">
        <f>S79*Q79</f>
        <v>0</v>
      </c>
      <c r="S79" s="170">
        <f>IF(Arbejdsark!N239=Arbejdsark!L240,Arbejdsark!M240,IF(Arbejdsark!N239=Arbejdsark!L241,Arbejdsark!M241,IF(Arbejdsark!N239=Arbejdsark!L242,Arbejdsark!M242,0)))</f>
        <v>0</v>
      </c>
    </row>
    <row r="80" spans="12:19" ht="11.65" hidden="1" customHeight="1" outlineLevel="1" x14ac:dyDescent="0.45">
      <c r="L80" s="179"/>
      <c r="M80" s="166" t="str">
        <f>Arbejdsark!C244</f>
        <v>Tryghed</v>
      </c>
      <c r="N80" s="166" t="str">
        <f>Arbejdsark!D244</f>
        <v>SOC1.7
Vægtning: SOC1.7 pkt 1.1 + pkt. 1.5</v>
      </c>
      <c r="O80" s="167">
        <f>Arbejdsark!E244</f>
        <v>3.6144578313253013E-3</v>
      </c>
      <c r="P80" s="168">
        <f>S80*O80</f>
        <v>0</v>
      </c>
      <c r="Q80" s="167">
        <f>IF(Projektforudsætninger!$B$14="Ja",Arbejdsark!R244,0%)</f>
        <v>0</v>
      </c>
      <c r="R80" s="169">
        <f>S80*Q80</f>
        <v>0</v>
      </c>
      <c r="S80" s="170">
        <f>IF(Arbejdsark!N244=Arbejdsark!L245,Arbejdsark!M245,IF(Arbejdsark!N244=Arbejdsark!L246,Arbejdsark!M246,IF(Arbejdsark!N244=Arbejdsark!L247,Arbejdsark!M247,0)))</f>
        <v>0</v>
      </c>
    </row>
    <row r="81" spans="12:19" ht="14.65" customHeight="1" outlineLevel="1" x14ac:dyDescent="0.45">
      <c r="L81" s="179"/>
      <c r="M81" s="166"/>
      <c r="N81" s="166"/>
      <c r="O81" s="167"/>
      <c r="P81" s="168"/>
      <c r="Q81" s="167"/>
      <c r="R81" s="169"/>
      <c r="S81" s="170"/>
    </row>
    <row r="82" spans="12:19" outlineLevel="1" x14ac:dyDescent="0.45">
      <c r="L82" s="174" t="str">
        <f>Arbejdsark!A250</f>
        <v>Cyklister</v>
      </c>
      <c r="M82" s="175"/>
      <c r="N82" s="175"/>
      <c r="O82" s="176">
        <f>SUM(O83:O85)</f>
        <v>9.0361445783132526E-3</v>
      </c>
      <c r="P82" s="176">
        <f>SUM(P83:P85)</f>
        <v>0</v>
      </c>
      <c r="Q82" s="176">
        <f>SUM(Q83:Q85)</f>
        <v>0</v>
      </c>
      <c r="R82" s="177">
        <f>SUM(R83:R85)</f>
        <v>0</v>
      </c>
      <c r="S82" s="176">
        <f>SUM(S83:S85)</f>
        <v>0</v>
      </c>
    </row>
    <row r="83" spans="12:19" outlineLevel="1" x14ac:dyDescent="0.45">
      <c r="L83" s="178"/>
      <c r="M83" s="166" t="str">
        <f>Arbejdsark!C250</f>
        <v>Cykelfaciliteter</v>
      </c>
      <c r="N83" s="166" t="str">
        <f>Arbejdsark!D250</f>
        <v>SOC2.3
Vægtning: SOC2.3 pkt 1.3</v>
      </c>
      <c r="O83" s="167">
        <f>Arbejdsark!E250</f>
        <v>2.7108433734939759E-3</v>
      </c>
      <c r="P83" s="168">
        <f>S83*O83</f>
        <v>0</v>
      </c>
      <c r="Q83" s="167">
        <f>IF(Projektforudsætninger!$B$14="Ja",Arbejdsark!R250,0%)</f>
        <v>0</v>
      </c>
      <c r="R83" s="169">
        <f>S83*Q83</f>
        <v>0</v>
      </c>
      <c r="S83" s="170">
        <f>IF(Arbejdsark!N250=Arbejdsark!L251,Arbejdsark!M251,IF(Arbejdsark!N250=Arbejdsark!L252,Arbejdsark!M252,IF(Arbejdsark!N250=Arbejdsark!L253,Arbejdsark!M253,0)))</f>
        <v>0</v>
      </c>
    </row>
    <row r="84" spans="12:19" outlineLevel="1" x14ac:dyDescent="0.45">
      <c r="L84" s="179"/>
      <c r="M84" s="166" t="str">
        <f>Arbejdsark!C255</f>
        <v>Placering af cykelparkering</v>
      </c>
      <c r="N84" s="166" t="str">
        <f>Arbejdsark!D255</f>
        <v>SOC2.3
Vægtning: SOC2.3 pkt 1.2.1 + 1.2.2</v>
      </c>
      <c r="O84" s="167">
        <f>Arbejdsark!E255</f>
        <v>2.7108433734939759E-3</v>
      </c>
      <c r="P84" s="168">
        <f>S84*O84</f>
        <v>0</v>
      </c>
      <c r="Q84" s="167">
        <f>IF(Projektforudsætninger!$B$14="Ja",Arbejdsark!R255,0%)</f>
        <v>0</v>
      </c>
      <c r="R84" s="169">
        <f>S84*Q84</f>
        <v>0</v>
      </c>
      <c r="S84" s="170">
        <f>IF(Arbejdsark!N255=Arbejdsark!L256,Arbejdsark!M256,IF(Arbejdsark!N255=Arbejdsark!L257,Arbejdsark!M257,IF(Arbejdsark!N255=Arbejdsark!L258,Arbejdsark!M258,0)))</f>
        <v>0</v>
      </c>
    </row>
    <row r="85" spans="12:19" outlineLevel="1" x14ac:dyDescent="0.45">
      <c r="L85" s="179"/>
      <c r="M85" s="166" t="str">
        <f>Arbejdsark!C260</f>
        <v>Pladskrav til cykelparkering</v>
      </c>
      <c r="N85" s="166" t="str">
        <f>Arbejdsark!D260</f>
        <v>SOC2.3
Vægtning: SOC2.3 pkt 1.1</v>
      </c>
      <c r="O85" s="167">
        <f>Arbejdsark!E260</f>
        <v>3.6144578313253013E-3</v>
      </c>
      <c r="P85" s="168">
        <f>S85*O85</f>
        <v>0</v>
      </c>
      <c r="Q85" s="167">
        <f>IF(Projektforudsætninger!$B$14="Ja",Arbejdsark!R260,0%)</f>
        <v>0</v>
      </c>
      <c r="R85" s="169">
        <f>S85*Q85</f>
        <v>0</v>
      </c>
      <c r="S85" s="170">
        <f>IF(Arbejdsark!N260=Arbejdsark!L261,Arbejdsark!M261,IF(Arbejdsark!N260=Arbejdsark!L262,Arbejdsark!M262,IF(Arbejdsark!N260=Arbejdsark!L263,Arbejdsark!M263,0)))</f>
        <v>0</v>
      </c>
    </row>
    <row r="86" spans="12:19" outlineLevel="1" x14ac:dyDescent="0.45">
      <c r="L86" s="179"/>
      <c r="M86" s="166"/>
      <c r="N86" s="166"/>
      <c r="O86" s="167"/>
      <c r="P86" s="168"/>
      <c r="Q86" s="167"/>
      <c r="R86" s="169"/>
      <c r="S86" s="170"/>
    </row>
    <row r="87" spans="12:19" outlineLevel="1" x14ac:dyDescent="0.45">
      <c r="L87" s="174" t="str">
        <f>Arbejdsark!A265</f>
        <v>Tryghed og sikkerhed</v>
      </c>
      <c r="M87" s="175"/>
      <c r="N87" s="175"/>
      <c r="O87" s="176">
        <f>SUM(O88:O89)</f>
        <v>1.1190917516218722E-2</v>
      </c>
      <c r="P87" s="176">
        <f>SUM(P88:P89)</f>
        <v>0</v>
      </c>
      <c r="Q87" s="176">
        <f>SUM(Q88:Q89)</f>
        <v>0</v>
      </c>
      <c r="R87" s="177">
        <f>SUM(R88:R89)</f>
        <v>0</v>
      </c>
      <c r="S87" s="176">
        <f>SUM(S88:S89)</f>
        <v>0</v>
      </c>
    </row>
    <row r="88" spans="12:19" outlineLevel="1" x14ac:dyDescent="0.45">
      <c r="L88" s="178"/>
      <c r="M88" s="166" t="str">
        <f>Arbejdsark!C265</f>
        <v>Udendørs belysning</v>
      </c>
      <c r="N88" s="166" t="str">
        <f>Arbejdsark!D265</f>
        <v>SOC1.7
Vægtning: SOC1.7 pkt 1.2, 1.3 og pkt. 1.4</v>
      </c>
      <c r="O88" s="167">
        <f>Arbejdsark!E265</f>
        <v>5.4216867469879517E-3</v>
      </c>
      <c r="P88" s="168">
        <f>S88*O88</f>
        <v>0</v>
      </c>
      <c r="Q88" s="167">
        <f>IF(Projektforudsætninger!$B$14="Ja",Arbejdsark!R265,0%)</f>
        <v>0</v>
      </c>
      <c r="R88" s="169">
        <f>S88*Q88</f>
        <v>0</v>
      </c>
      <c r="S88" s="170">
        <f>IF(Arbejdsark!N265=Arbejdsark!L266,Arbejdsark!M266,IF(Arbejdsark!N265=Arbejdsark!L267,Arbejdsark!M267,IF(Arbejdsark!N265=Arbejdsark!L268,Arbejdsark!M268,0)))</f>
        <v>0</v>
      </c>
    </row>
    <row r="89" spans="12:19" ht="16.5" customHeight="1" outlineLevel="1" x14ac:dyDescent="0.45">
      <c r="L89" s="179"/>
      <c r="M89" s="166" t="str">
        <f>Arbejdsark!C270</f>
        <v>Forebyggelse af uheld</v>
      </c>
      <c r="N89" s="166" t="str">
        <f>Arbejdsark!D270</f>
        <v xml:space="preserve">TEC1.1 pkt. 3.6
</v>
      </c>
      <c r="O89" s="167">
        <f>Arbejdsark!E270</f>
        <v>5.7692307692307696E-3</v>
      </c>
      <c r="P89" s="168">
        <f>S89*O89</f>
        <v>0</v>
      </c>
      <c r="Q89" s="167">
        <f>IF(Projektforudsætninger!$B$14="Ja",Arbejdsark!R270,0%)</f>
        <v>0</v>
      </c>
      <c r="R89" s="169">
        <f>S89*Q89</f>
        <v>0</v>
      </c>
      <c r="S89" s="170">
        <f>IF(Arbejdsark!N270=Arbejdsark!L271,Arbejdsark!M271,IF(Arbejdsark!N270=Arbejdsark!L272,Arbejdsark!M272,IF(Arbejdsark!N270=Arbejdsark!L273,Arbejdsark!M273,0)))</f>
        <v>0</v>
      </c>
    </row>
    <row r="90" spans="12:19" ht="17.100000000000001" customHeight="1" outlineLevel="1" x14ac:dyDescent="0.45">
      <c r="L90" s="179"/>
      <c r="M90" s="166"/>
      <c r="N90" s="166"/>
      <c r="O90" s="167"/>
      <c r="P90" s="168"/>
      <c r="Q90" s="167"/>
      <c r="R90" s="169"/>
      <c r="S90" s="170"/>
    </row>
    <row r="91" spans="12:19" ht="15" customHeight="1" outlineLevel="1" x14ac:dyDescent="0.45">
      <c r="L91" s="174" t="str">
        <f>Arbejdsark!A279</f>
        <v>Arkitektonisk kvalitet</v>
      </c>
      <c r="M91" s="175"/>
      <c r="N91" s="175"/>
      <c r="O91" s="176">
        <v>2.4E-2</v>
      </c>
      <c r="P91" s="176">
        <f>SUM(P92:P95)</f>
        <v>0</v>
      </c>
      <c r="Q91" s="176">
        <f>IF(Projektforudsætninger!B14="Ja",'Sortering af spørgsmål'!E21,0)</f>
        <v>0</v>
      </c>
      <c r="R91" s="177">
        <f>Arbejdsark!R279*Arbejdsark!M280+Arbejdsark!R285</f>
        <v>0</v>
      </c>
      <c r="S91" s="176">
        <v>2.4E-2</v>
      </c>
    </row>
    <row r="92" spans="12:19" ht="0.4" customHeight="1" outlineLevel="1" x14ac:dyDescent="0.45">
      <c r="L92" s="178"/>
      <c r="M92" s="166" t="str">
        <f>Arbejdsark!C279</f>
        <v>Udbudsform</v>
      </c>
      <c r="N92" s="166" t="str">
        <f>Arbejdsark!D279</f>
        <v>SOC3.1
Vægtning: SOC3.1 pkt. 1.1/2.1/3/4</v>
      </c>
      <c r="O92" s="167">
        <f>Arbejdsark!E279</f>
        <v>2.710843373493976E-2</v>
      </c>
      <c r="P92" s="168">
        <f>S92*O92</f>
        <v>0</v>
      </c>
      <c r="Q92" s="167">
        <f>IF(Projektforudsætninger!$B$14="Ja",Arbejdsark!R279,0%)</f>
        <v>0</v>
      </c>
      <c r="R92" s="169">
        <f>S92*Q92</f>
        <v>0</v>
      </c>
      <c r="S92" s="170" t="b">
        <f>IF(Arbejdsark!$N$279=Arbejdsark!$L$280,Arbejdsark!$M$280,IF(Arbejdsark!$N$279=Arbejdsark!$L$281,Arbejdsark!$M$281,IF(Arbejdsark!$N$279=Arbejdsark!$L$282,Arbejdsark!$M$282,IF(Arbejdsark!$N$279=Arbejdsark!$L$283,Arbejdsark!$M$283))))</f>
        <v>0</v>
      </c>
    </row>
    <row r="93" spans="12:19" ht="0.4" customHeight="1" outlineLevel="1" x14ac:dyDescent="0.45">
      <c r="L93" s="179"/>
      <c r="M93" s="166"/>
      <c r="N93" s="166"/>
      <c r="O93" s="167">
        <f>Arbejdsark!E285</f>
        <v>1.0843373493975905E-2</v>
      </c>
      <c r="P93" s="168">
        <f>S93*O93</f>
        <v>0</v>
      </c>
      <c r="Q93" s="167">
        <f>IF(Projektforudsætninger!$B$14="Ja",Arbejdsark!R285,0%)</f>
        <v>0</v>
      </c>
      <c r="R93" s="169">
        <f>S93*Q93</f>
        <v>0</v>
      </c>
      <c r="S93" s="170">
        <f>IF(Arbejdsark!$N$279=Arbejdsark!$L$280,IF(Arbejdsark!$N$285=Arbejdsark!$L$286,Arbejdsark!$M$286,IF(Arbejdsark!$N$285=Arbejdsark!$L$287,Arbejdsark!$M$287,0)),0)</f>
        <v>0</v>
      </c>
    </row>
    <row r="94" spans="12:19" ht="2.25" customHeight="1" outlineLevel="1" x14ac:dyDescent="0.45">
      <c r="L94" s="179"/>
      <c r="M94" s="166"/>
      <c r="N94" s="166"/>
      <c r="O94" s="167">
        <f>Arbejdsark!E289</f>
        <v>1.0843373493975905E-2</v>
      </c>
      <c r="P94" s="168">
        <f>S94*O94</f>
        <v>0</v>
      </c>
      <c r="Q94" s="167">
        <f>IF(Projektforudsætninger!$B$14="Ja",Arbejdsark!R289,0%)</f>
        <v>0</v>
      </c>
      <c r="R94" s="169">
        <f>S94*Q94</f>
        <v>0</v>
      </c>
      <c r="S94" s="170">
        <f>IF(Arbejdsark!$N$279=Arbejdsark!$L$281,IF(Arbejdsark!$N$289=Arbejdsark!$L$290,Arbejdsark!$M$290,IF(Arbejdsark!$N$289=Arbejdsark!$L$291,Arbejdsark!$M$291,IF(Arbejdsark!$N$289=Arbejdsark!$L$292,Arbejdsark!$M$292,0))),0)</f>
        <v>0</v>
      </c>
    </row>
    <row r="95" spans="12:19" ht="2.1" hidden="1" customHeight="1" outlineLevel="1" x14ac:dyDescent="0.45">
      <c r="L95" s="179"/>
      <c r="M95" s="166"/>
      <c r="N95" s="166"/>
      <c r="O95" s="167">
        <f>Arbejdsark!E294</f>
        <v>1.0843373493975905E-2</v>
      </c>
      <c r="P95" s="168">
        <f>S95*O95</f>
        <v>0</v>
      </c>
      <c r="Q95" s="167">
        <f>IF(Projektforudsætninger!$B$14="Ja",Arbejdsark!R294,0%)</f>
        <v>0</v>
      </c>
      <c r="R95" s="169">
        <f>S95*Q95</f>
        <v>0</v>
      </c>
      <c r="S95" s="170">
        <f>IF(Arbejdsark!$N$279=Arbejdsark!$L$281,IF(Arbejdsark!$N$294=Arbejdsark!$L$295,Arbejdsark!$M$295,IF(Arbejdsark!$N$294=Arbejdsark!$L$296,Arbejdsark!$M$296,IF(Arbejdsark!$N$294=Arbejdsark!$L$297,Arbejdsark!$M$297,0))),0)</f>
        <v>0</v>
      </c>
    </row>
    <row r="96" spans="12:19" ht="2.1" hidden="1" customHeight="1" outlineLevel="1" x14ac:dyDescent="0.45">
      <c r="L96" s="179"/>
      <c r="M96" s="166"/>
      <c r="N96" s="166"/>
      <c r="O96" s="167"/>
      <c r="P96" s="168"/>
      <c r="Q96" s="167"/>
      <c r="R96" s="169"/>
      <c r="S96" s="170"/>
    </row>
    <row r="97" spans="12:19" ht="15" customHeight="1" outlineLevel="1" x14ac:dyDescent="0.45">
      <c r="L97" s="174" t="str">
        <f>Arbejdsark!A300</f>
        <v>Plandisponering</v>
      </c>
      <c r="M97" s="175"/>
      <c r="N97" s="175"/>
      <c r="O97" s="176">
        <f>SUM(O98:O112)</f>
        <v>1.7981927710843375E-2</v>
      </c>
      <c r="P97" s="176">
        <f>SUM(P98:P112)</f>
        <v>0</v>
      </c>
      <c r="Q97" s="176">
        <f>SUM(Q98:Q112)</f>
        <v>0</v>
      </c>
      <c r="R97" s="177">
        <f>SUM(R98:R112)</f>
        <v>0</v>
      </c>
      <c r="S97" s="176">
        <f>SUM(S98:S112)</f>
        <v>0</v>
      </c>
    </row>
    <row r="98" spans="12:19" ht="0.4" customHeight="1" outlineLevel="1" x14ac:dyDescent="0.45">
      <c r="L98" s="179"/>
      <c r="M98" s="166" t="str">
        <f>Arbejdsark!C300</f>
        <v xml:space="preserve">Ejerforhold og boligtyper </v>
      </c>
      <c r="N98" s="166" t="str">
        <f>Arbejdsark!D300</f>
        <v>SOC3.3
Vægtning: SOC3.3 pkt. 1.1</v>
      </c>
      <c r="O98" s="167">
        <f>Arbejdsark!E300</f>
        <v>1.4457831325301205E-3</v>
      </c>
      <c r="P98" s="168">
        <f t="shared" ref="P98:P112" si="6">S98*O98</f>
        <v>0</v>
      </c>
      <c r="Q98" s="167">
        <f>IF(Projektforudsætninger!$B$14="Ja",Arbejdsark!R300,0%)</f>
        <v>0</v>
      </c>
      <c r="R98" s="169">
        <f t="shared" ref="R98:R112" si="7">S98*Q98</f>
        <v>0</v>
      </c>
      <c r="S98" s="170">
        <f>IF(Arbejdsark!$N$300=Arbejdsark!$L$301,Arbejdsark!$M$301,IF(Arbejdsark!$N$300=Arbejdsark!$L$302,Arbejdsark!$M$302,IF(Arbejdsark!$N$300=Arbejdsark!$L$303,Arbejdsark!$M$303,0)))</f>
        <v>0</v>
      </c>
    </row>
    <row r="99" spans="12:19" ht="0.4" customHeight="1" outlineLevel="1" thickBot="1" x14ac:dyDescent="0.5">
      <c r="L99" s="179"/>
      <c r="M99" s="166" t="str">
        <f>Arbejdsark!C306</f>
        <v>Fællesområder</v>
      </c>
      <c r="N99" s="166" t="str">
        <f>Arbejdsark!D306</f>
        <v>SOC3.3
Vægtning: SOC3.3 pkt. 1.2.1 + 1.2.2</v>
      </c>
      <c r="O99" s="167">
        <f>Arbejdsark!E306</f>
        <v>9.0361445783132533E-4</v>
      </c>
      <c r="P99" s="168">
        <f t="shared" si="6"/>
        <v>0</v>
      </c>
      <c r="Q99" s="167">
        <f>IF(Projektforudsætninger!$B$14="Ja",Arbejdsark!R306,0%)</f>
        <v>0</v>
      </c>
      <c r="R99" s="169">
        <f t="shared" si="7"/>
        <v>0</v>
      </c>
      <c r="S99" s="170">
        <f>IF(Arbejdsark!$N$306=Arbejdsark!$L$307,Arbejdsark!$M$307,IF(Arbejdsark!$N$306=Arbejdsark!$L$308,Arbejdsark!$M$308,IF(Arbejdsark!$N$306=Arbejdsark!$L$309,Arbejdsark!$M$309,0)))</f>
        <v>0</v>
      </c>
    </row>
    <row r="100" spans="12:19" ht="0.4" customHeight="1" outlineLevel="1" thickBot="1" x14ac:dyDescent="0.5">
      <c r="L100" s="179"/>
      <c r="M100" s="166" t="str">
        <f>Arbejdsark!C311</f>
        <v>Adgangszoner/entréområder</v>
      </c>
      <c r="N100" s="166" t="str">
        <f>Arbejdsark!D311</f>
        <v>SOC3.3
Vægtning: SOC3.3 pkt. 2.2</v>
      </c>
      <c r="O100" s="167">
        <f>Arbejdsark!E311</f>
        <v>1.3554216867469879E-3</v>
      </c>
      <c r="P100" s="168">
        <f t="shared" si="6"/>
        <v>0</v>
      </c>
      <c r="Q100" s="167">
        <f>IF(Projektforudsætninger!$B$14="Ja",Arbejdsark!R311,0%)</f>
        <v>0</v>
      </c>
      <c r="R100" s="169">
        <f t="shared" si="7"/>
        <v>0</v>
      </c>
      <c r="S100" s="170">
        <f>IF(Arbejdsark!$N$311=Arbejdsark!$L$312,Arbejdsark!$M$312,IF(Arbejdsark!$N$311=Arbejdsark!$L$313,Arbejdsark!$M$313,IF(Arbejdsark!$N$311=Arbejdsark!$L$314,Arbejdsark!$M$314,0)))</f>
        <v>0</v>
      </c>
    </row>
    <row r="101" spans="12:19" ht="0.4" customHeight="1" outlineLevel="1" thickBot="1" x14ac:dyDescent="0.5">
      <c r="L101" s="179"/>
      <c r="M101" s="166" t="str">
        <f>Arbejdsark!C316</f>
        <v xml:space="preserve">Udlån af lokaler </v>
      </c>
      <c r="N101" s="166" t="str">
        <f>Arbejdsark!D316</f>
        <v>SOC3.3
Vægtning: SOC3.3 pkt. 1.2.3</v>
      </c>
      <c r="O101" s="167">
        <f>Arbejdsark!E316</f>
        <v>8.1325301204819274E-4</v>
      </c>
      <c r="P101" s="168">
        <f t="shared" si="6"/>
        <v>0</v>
      </c>
      <c r="Q101" s="167">
        <f>IF(Projektforudsætninger!$B$14="Ja",Arbejdsark!R316,0%)</f>
        <v>0</v>
      </c>
      <c r="R101" s="169">
        <f t="shared" si="7"/>
        <v>0</v>
      </c>
      <c r="S101" s="170">
        <f>IF(Arbejdsark!$N$316=Arbejdsark!$L$317,Arbejdsark!$M$317,IF(Arbejdsark!$N$316=Arbejdsark!$L$318,Arbejdsark!$M$318,IF(Arbejdsark!$N$316=Arbejdsark!$L$319,Arbejdsark!$M$319,0)))</f>
        <v>0</v>
      </c>
    </row>
    <row r="102" spans="12:19" ht="0.4" customHeight="1" outlineLevel="1" thickBot="1" x14ac:dyDescent="0.5">
      <c r="L102" s="179"/>
      <c r="M102" s="166" t="str">
        <f>Arbejdsark!C321</f>
        <v>Vaske-/tørrefaciliteter</v>
      </c>
      <c r="N102" s="166" t="str">
        <f>Arbejdsark!D321</f>
        <v>SOC3.3
Vægtning: SOC3.3 pkt. 1.2.3</v>
      </c>
      <c r="O102" s="167">
        <f>Arbejdsark!E321</f>
        <v>8.1325301204819274E-4</v>
      </c>
      <c r="P102" s="168">
        <f t="shared" si="6"/>
        <v>0</v>
      </c>
      <c r="Q102" s="167">
        <f>IF(Projektforudsætninger!$B$14="Ja",Arbejdsark!R321,0%)</f>
        <v>0</v>
      </c>
      <c r="R102" s="169">
        <f t="shared" si="7"/>
        <v>0</v>
      </c>
      <c r="S102" s="170">
        <f>IF(Arbejdsark!$N$321=Arbejdsark!$L$322,Arbejdsark!$M$322,IF(Arbejdsark!$N$321=Arbejdsark!$L$323,Arbejdsark!$M$323,IF(Arbejdsark!$N$321=Arbejdsark!$L$324,Arbejdsark!$M$324,0)))</f>
        <v>0</v>
      </c>
    </row>
    <row r="103" spans="12:19" ht="0.4" customHeight="1" outlineLevel="1" thickBot="1" x14ac:dyDescent="0.5">
      <c r="L103" s="179"/>
      <c r="M103" s="166" t="str">
        <f>Arbejdsark!C326</f>
        <v>Tv, radio og internet</v>
      </c>
      <c r="N103" s="166" t="str">
        <f>Arbejdsark!D326</f>
        <v>SOC3.3
Vægtning: SOC3.3 pkt. 2.8</v>
      </c>
      <c r="O103" s="167">
        <f>Arbejdsark!E326</f>
        <v>9.0361445783132533E-4</v>
      </c>
      <c r="P103" s="168">
        <f t="shared" si="6"/>
        <v>0</v>
      </c>
      <c r="Q103" s="167">
        <f>IF(Projektforudsætninger!$B$14="Ja",Arbejdsark!R326,0%)</f>
        <v>0</v>
      </c>
      <c r="R103" s="169">
        <f t="shared" si="7"/>
        <v>0</v>
      </c>
      <c r="S103" s="170">
        <f>IF(Arbejdsark!$N$326=Arbejdsark!$L$327,Arbejdsark!$M$327,IF(Arbejdsark!$N$326=Arbejdsark!$L$328,Arbejdsark!$M$328,IF(Arbejdsark!$N$326=Arbejdsark!$L$329,Arbejdsark!$M$329,0)))</f>
        <v>0</v>
      </c>
    </row>
    <row r="104" spans="12:19" ht="0.4" customHeight="1" outlineLevel="1" thickBot="1" x14ac:dyDescent="0.5">
      <c r="L104" s="179"/>
      <c r="M104" s="166" t="str">
        <f>Arbejdsark!C331</f>
        <v>Adskillelse af soverum og opholdsrum</v>
      </c>
      <c r="N104" s="166" t="str">
        <f>Arbejdsark!D331</f>
        <v>SOC3.3
Vægtning: SOC3.3 pkt. 2.1</v>
      </c>
      <c r="O104" s="167">
        <f>Arbejdsark!E331</f>
        <v>1.3554216867469879E-3</v>
      </c>
      <c r="P104" s="168">
        <f t="shared" si="6"/>
        <v>0</v>
      </c>
      <c r="Q104" s="167">
        <f>IF(Projektforudsætninger!$B$14="Ja",Arbejdsark!R331,0%)</f>
        <v>0</v>
      </c>
      <c r="R104" s="169">
        <f t="shared" si="7"/>
        <v>0</v>
      </c>
      <c r="S104" s="170">
        <f>IF(Arbejdsark!$N$331=Arbejdsark!$L$332,Arbejdsark!$M$332,IF(Arbejdsark!$N$331=Arbejdsark!$L$333,Arbejdsark!$M$333,IF(Arbejdsark!$N$331=Arbejdsark!$L$334,Arbejdsark!$M$334,0)))</f>
        <v>0</v>
      </c>
    </row>
    <row r="105" spans="12:19" ht="0.4" customHeight="1" outlineLevel="1" thickBot="1" x14ac:dyDescent="0.5">
      <c r="L105" s="179"/>
      <c r="M105" s="166" t="str">
        <f>Arbejdsark!C336</f>
        <v>Toilet og baderum (tilgængelighed)</v>
      </c>
      <c r="N105" s="166" t="str">
        <f>Arbejdsark!D336</f>
        <v>SOC3.3 
Vægtning: SOC3.3 pkt. 2.1.1</v>
      </c>
      <c r="O105" s="167">
        <f>Arbejdsark!E336</f>
        <v>9.0361445783132533E-4</v>
      </c>
      <c r="P105" s="168">
        <f t="shared" si="6"/>
        <v>0</v>
      </c>
      <c r="Q105" s="167">
        <f>IF(Projektforudsætninger!$B$14="Ja",Arbejdsark!R336,0%)</f>
        <v>0</v>
      </c>
      <c r="R105" s="169">
        <f t="shared" si="7"/>
        <v>0</v>
      </c>
      <c r="S105" s="170">
        <f>IF(Arbejdsark!$N$336=Arbejdsark!$L$337,Arbejdsark!$M$337,IF(Arbejdsark!$N$336=Arbejdsark!$L$338,Arbejdsark!$M$338,IF(Arbejdsark!$N$336=Arbejdsark!$L$339,Arbejdsark!$M$339,0)))</f>
        <v>0</v>
      </c>
    </row>
    <row r="106" spans="12:19" ht="0.4" customHeight="1" outlineLevel="1" thickBot="1" x14ac:dyDescent="0.5">
      <c r="L106" s="179"/>
      <c r="M106" s="166" t="str">
        <f>Arbejdsark!C341</f>
        <v>Indretningsmuligheder</v>
      </c>
      <c r="N106" s="166" t="str">
        <f>Arbejdsark!D341</f>
        <v>SOC3.3
Vægtning: SOC3.3 pkt. 2.6</v>
      </c>
      <c r="O106" s="167">
        <f>Arbejdsark!E341</f>
        <v>1.3554216867469879E-3</v>
      </c>
      <c r="P106" s="168">
        <f t="shared" si="6"/>
        <v>0</v>
      </c>
      <c r="Q106" s="167">
        <f>IF(Projektforudsætninger!$B$14="Ja",Arbejdsark!R341,0%)</f>
        <v>0</v>
      </c>
      <c r="R106" s="169">
        <f t="shared" si="7"/>
        <v>0</v>
      </c>
      <c r="S106" s="170">
        <f>IF(Arbejdsark!$N$341=Arbejdsark!$L$342,Arbejdsark!$M$342,IF(Arbejdsark!$N$341=Arbejdsark!$L$343,Arbejdsark!$M$343,IF(Arbejdsark!$N$341=Arbejdsark!$L$344,Arbejdsark!$M$344,0)))</f>
        <v>0</v>
      </c>
    </row>
    <row r="107" spans="12:19" ht="0.4" customHeight="1" outlineLevel="1" thickBot="1" x14ac:dyDescent="0.5">
      <c r="L107" s="179"/>
      <c r="M107" s="166" t="str">
        <f>Arbejdsark!C346</f>
        <v xml:space="preserve">Placering af køkken </v>
      </c>
      <c r="N107" s="166" t="str">
        <f>Arbejdsark!D346</f>
        <v>SOC3.3
Vægtning: 50% SOC3.3 pkt. 2.3</v>
      </c>
      <c r="O107" s="189">
        <f>Arbejdsark!E346</f>
        <v>1.1295180722891566E-3</v>
      </c>
      <c r="P107" s="168">
        <f t="shared" si="6"/>
        <v>0</v>
      </c>
      <c r="Q107" s="167">
        <f>IF(Projektforudsætninger!$B$14="Ja",Arbejdsark!R346,0%)</f>
        <v>0</v>
      </c>
      <c r="R107" s="169">
        <f t="shared" si="7"/>
        <v>0</v>
      </c>
      <c r="S107" s="170">
        <f>IF(Arbejdsark!$N$346=Arbejdsark!$L$347,Arbejdsark!$M$347,IF(Arbejdsark!$N$346=Arbejdsark!$L$348,Arbejdsark!$M$348,IF(Arbejdsark!$N$346=Arbejdsark!$L$349,Arbejdsark!$M$349,0)))</f>
        <v>0</v>
      </c>
    </row>
    <row r="108" spans="12:19" ht="0.4" customHeight="1" outlineLevel="1" thickBot="1" x14ac:dyDescent="0.5">
      <c r="L108" s="179"/>
      <c r="M108" s="166" t="str">
        <f>Arbejdsark!C351</f>
        <v>Placering af bad</v>
      </c>
      <c r="N108" s="166" t="str">
        <f>Arbejdsark!D351</f>
        <v>SOC3.3
Vægtning: 50% SOC3.3 pkt. 2.3</v>
      </c>
      <c r="O108" s="189">
        <f>Arbejdsark!E351</f>
        <v>1.1295180722891566E-3</v>
      </c>
      <c r="P108" s="168">
        <f t="shared" si="6"/>
        <v>0</v>
      </c>
      <c r="Q108" s="167">
        <f>IF(Projektforudsætninger!$B$14="Ja",Arbejdsark!R351,0%)</f>
        <v>0</v>
      </c>
      <c r="R108" s="169">
        <f t="shared" si="7"/>
        <v>0</v>
      </c>
      <c r="S108" s="170">
        <f>IF(Arbejdsark!$N$351=Arbejdsark!$L$352,Arbejdsark!$M$352,IF(Arbejdsark!$N$351=Arbejdsark!$L$353,Arbejdsark!$M$353,IF(Arbejdsark!$N$351=Arbejdsark!$L$354,Arbejdsark!$M$354,0)))</f>
        <v>0</v>
      </c>
    </row>
    <row r="109" spans="12:19" ht="0.4" customHeight="1" outlineLevel="1" thickBot="1" x14ac:dyDescent="0.5">
      <c r="L109" s="179"/>
      <c r="M109" s="166" t="str">
        <f>Arbejdsark!C356</f>
        <v>Garderobe og opbevaringsmuligheder</v>
      </c>
      <c r="N109" s="166" t="str">
        <f>Arbejdsark!D356</f>
        <v>SOC3.3
Vægtning: SOC3.3 pkt. 2.7</v>
      </c>
      <c r="O109" s="167">
        <f>Arbejdsark!E356</f>
        <v>1.8072289156626507E-3</v>
      </c>
      <c r="P109" s="168">
        <f t="shared" si="6"/>
        <v>0</v>
      </c>
      <c r="Q109" s="167">
        <f>IF(Projektforudsætninger!$B$14="Ja",Arbejdsark!R356,0%)</f>
        <v>0</v>
      </c>
      <c r="R109" s="169">
        <f t="shared" si="7"/>
        <v>0</v>
      </c>
      <c r="S109" s="170">
        <f>IF(Arbejdsark!$N$356=Arbejdsark!$L$357,Arbejdsark!$M$357,IF(Arbejdsark!$N$356=Arbejdsark!$L$358,Arbejdsark!$M$358,IF(Arbejdsark!$N$356=Arbejdsark!$L$359,Arbejdsark!$M$359,0)))</f>
        <v>0</v>
      </c>
    </row>
    <row r="110" spans="12:19" ht="0.4" customHeight="1" outlineLevel="1" thickBot="1" x14ac:dyDescent="0.5">
      <c r="L110" s="179"/>
      <c r="M110" s="166" t="str">
        <f>Arbejdsark!C361</f>
        <v>Indkig</v>
      </c>
      <c r="N110" s="166" t="str">
        <f>Arbejdsark!D361</f>
        <v>SOC3.3
Vægtning: SOC3.3 pkt. 2.4.3</v>
      </c>
      <c r="O110" s="167">
        <f>Arbejdsark!E361</f>
        <v>1.3554216867469879E-3</v>
      </c>
      <c r="P110" s="168">
        <f t="shared" si="6"/>
        <v>0</v>
      </c>
      <c r="Q110" s="167">
        <f>IF(Projektforudsætninger!$B$14="Ja",Arbejdsark!R361,0%)</f>
        <v>0</v>
      </c>
      <c r="R110" s="169">
        <f t="shared" si="7"/>
        <v>0</v>
      </c>
      <c r="S110" s="170">
        <f>IF(Arbejdsark!$N$361=Arbejdsark!$L$362,Arbejdsark!$M$362,IF(Arbejdsark!$N$361=Arbejdsark!$L$363,Arbejdsark!$M$363,IF(Arbejdsark!$N$361=Arbejdsark!$L$364,Arbejdsark!$M$364,0)))</f>
        <v>0</v>
      </c>
    </row>
    <row r="111" spans="12:19" ht="0.4" customHeight="1" outlineLevel="1" thickBot="1" x14ac:dyDescent="0.5">
      <c r="L111" s="179"/>
      <c r="M111" s="166">
        <f>Arbejdsark!C367</f>
        <v>0</v>
      </c>
      <c r="N111" s="166" t="str">
        <f>Arbejdsark!D367</f>
        <v>Vægtning: SOC3.3 pkt. 2.4.1 + 2.4.2</v>
      </c>
      <c r="O111" s="167">
        <f>Arbejdsark!E367</f>
        <v>1.8072289156626507E-3</v>
      </c>
      <c r="P111" s="168">
        <f t="shared" si="6"/>
        <v>0</v>
      </c>
      <c r="Q111" s="167">
        <f>IF(Projektforudsætninger!$B$14="Ja",Arbejdsark!R367,0%)</f>
        <v>0</v>
      </c>
      <c r="R111" s="169">
        <f t="shared" si="7"/>
        <v>0</v>
      </c>
      <c r="S111" s="170">
        <f>IF(Arbejdsark!$N$366=Arbejdsark!$L$367,Arbejdsark!$M$367,IF(Arbejdsark!$N$366=Arbejdsark!$L$368,Arbejdsark!$M$368,IF(Arbejdsark!$N$366=Arbejdsark!$L$369,Arbejdsark!$M$369,0)))</f>
        <v>0</v>
      </c>
    </row>
    <row r="112" spans="12:19" ht="0.4" customHeight="1" outlineLevel="1" thickBot="1" x14ac:dyDescent="0.5">
      <c r="L112" s="179"/>
      <c r="M112" s="166" t="str">
        <f>Arbejdsark!C371</f>
        <v>Adgangsveje til udearealer fra boligen</v>
      </c>
      <c r="N112" s="166" t="str">
        <f>Arbejdsark!D371</f>
        <v>SOC3.3
Vægtning: SOC3.3 pkt. 2.4.4</v>
      </c>
      <c r="O112" s="167">
        <f>Arbejdsark!E371</f>
        <v>9.0361445783132533E-4</v>
      </c>
      <c r="P112" s="168">
        <f t="shared" si="6"/>
        <v>0</v>
      </c>
      <c r="Q112" s="167">
        <f>IF(Projektforudsætninger!$B$14="Ja",Arbejdsark!R371,0%)</f>
        <v>0</v>
      </c>
      <c r="R112" s="169">
        <f t="shared" si="7"/>
        <v>0</v>
      </c>
      <c r="S112" s="170">
        <f>IF(Arbejdsark!$N$371=Arbejdsark!$L$372,Arbejdsark!$M$372,IF(Arbejdsark!$N$371=Arbejdsark!$L$373,Arbejdsark!$M$373,IF(Arbejdsark!$N$371=Arbejdsark!$L$374,Arbejdsark!$M$374,0)))</f>
        <v>0</v>
      </c>
    </row>
    <row r="113" spans="12:19" ht="0.4" customHeight="1" outlineLevel="1" thickBot="1" x14ac:dyDescent="0.5">
      <c r="L113" s="179"/>
      <c r="M113" s="166"/>
      <c r="N113" s="166"/>
      <c r="O113" s="167"/>
      <c r="P113" s="168"/>
      <c r="Q113" s="167"/>
      <c r="R113" s="169"/>
      <c r="S113" s="170"/>
    </row>
    <row r="114" spans="12:19" ht="0.4" customHeight="1" outlineLevel="1" thickBot="1" x14ac:dyDescent="0.5">
      <c r="L114" s="187"/>
      <c r="M114" s="181"/>
      <c r="N114" s="181"/>
      <c r="O114" s="182"/>
      <c r="P114" s="183"/>
      <c r="Q114" s="182"/>
      <c r="R114" s="184"/>
      <c r="S114" s="185"/>
    </row>
    <row r="115" spans="12:19" ht="14.65" outlineLevel="1" thickBot="1" x14ac:dyDescent="0.5">
      <c r="L115" s="149" t="str">
        <f>Arbejdsark!A376</f>
        <v>TEKNISK KVALITET</v>
      </c>
      <c r="M115" s="150"/>
      <c r="N115" s="150"/>
      <c r="O115" s="195">
        <f>SUM(O116,O119,O123,O126,O129,O138)+O146</f>
        <v>0.20874745528573507</v>
      </c>
      <c r="P115" s="195">
        <f>SUM(P116,P119,P123,P126,P129,P138)+P146</f>
        <v>0</v>
      </c>
      <c r="Q115" s="195">
        <f>SUM(Q116,Q119,Q123,Q126,Q129,Q138)+Q146</f>
        <v>0</v>
      </c>
      <c r="R115" s="158">
        <f>SUM(R116,R119,R123,R126,R129,R138)+R146</f>
        <v>0</v>
      </c>
      <c r="S115" s="151"/>
    </row>
    <row r="116" spans="12:19" outlineLevel="1" x14ac:dyDescent="0.45">
      <c r="L116" s="196" t="s">
        <v>205</v>
      </c>
      <c r="M116" s="197"/>
      <c r="N116" s="197"/>
      <c r="O116" s="198">
        <f>SUM(O117)</f>
        <v>1.7307692307692309E-2</v>
      </c>
      <c r="P116" s="198">
        <f>SUM(P117)</f>
        <v>0</v>
      </c>
      <c r="Q116" s="198">
        <f>SUM(Q117)</f>
        <v>0</v>
      </c>
      <c r="R116" s="199">
        <f>SUM(R117)</f>
        <v>0</v>
      </c>
      <c r="S116" s="198">
        <f>SUM(S117)</f>
        <v>0</v>
      </c>
    </row>
    <row r="117" spans="12:19" ht="0.4" customHeight="1" outlineLevel="1" x14ac:dyDescent="0.45">
      <c r="L117" s="190"/>
      <c r="M117" s="166" t="str">
        <f>Arbejdsark!C4</f>
        <v>Mulighed for genbrug ved ombygning og bortskaffelse</v>
      </c>
      <c r="N117" s="166" t="str">
        <f>Arbejdsark!D4</f>
        <v>TEC1.6</v>
      </c>
      <c r="O117" s="167">
        <f>Arbejdsark!E4</f>
        <v>1.7307692307692309E-2</v>
      </c>
      <c r="P117" s="168">
        <f>S117*O117</f>
        <v>0</v>
      </c>
      <c r="Q117" s="167">
        <f>IF(Projektforudsætninger!$B$14="Ja",Arbejdsark!R4,0%)</f>
        <v>0</v>
      </c>
      <c r="R117" s="169">
        <f>S117*Q117</f>
        <v>0</v>
      </c>
      <c r="S117" s="170">
        <f>IF(Arbejdsark!$N$4=Arbejdsark!$L$5,Arbejdsark!$M$5,IF(Arbejdsark!$N$4=Arbejdsark!$L$6,Arbejdsark!$M$6,IF(Arbejdsark!$N$4=Arbejdsark!$L$7,Arbejdsark!$M$7,0)))</f>
        <v>0</v>
      </c>
    </row>
    <row r="118" spans="12:19" ht="0.4" customHeight="1" outlineLevel="1" x14ac:dyDescent="0.45">
      <c r="L118" s="190"/>
      <c r="M118" s="191"/>
      <c r="N118" s="191"/>
      <c r="O118" s="192"/>
      <c r="P118" s="192"/>
      <c r="Q118" s="192"/>
      <c r="R118" s="193"/>
      <c r="S118" s="194"/>
    </row>
    <row r="119" spans="12:19" outlineLevel="1" x14ac:dyDescent="0.45">
      <c r="L119" s="174" t="str">
        <f>Arbejdsark!A114</f>
        <v>Fleksibilitet</v>
      </c>
      <c r="M119" s="175"/>
      <c r="N119" s="175"/>
      <c r="O119" s="176">
        <f>SUM(O120:O121)</f>
        <v>1.3170532208811982E-2</v>
      </c>
      <c r="P119" s="176">
        <f>SUM(P120:P121)</f>
        <v>0</v>
      </c>
      <c r="Q119" s="176">
        <f>SUM(Q120:Q121)</f>
        <v>0</v>
      </c>
      <c r="R119" s="177">
        <f>SUM(R120:R121)</f>
        <v>0</v>
      </c>
      <c r="S119" s="176">
        <f>SUM(S120:S121)</f>
        <v>0</v>
      </c>
    </row>
    <row r="120" spans="12:19" ht="0.4" customHeight="1" outlineLevel="1" x14ac:dyDescent="0.45">
      <c r="L120" s="190"/>
      <c r="M120" s="166" t="str">
        <f>Arbejdsark!C139</f>
        <v xml:space="preserve">Installationer - føring </v>
      </c>
      <c r="N120" s="166" t="str">
        <f>Arbejdsark!D139</f>
        <v>ECO2.1 + TEC1.4
Vægtning: ECO2.1 pkt. 7.1, 7.2 og 7.3 + TEC1.4 pkt. 1.1, 1.2 og 1.3</v>
      </c>
      <c r="O120" s="167">
        <f>Arbejdsark!E139*0.5/2.3</f>
        <v>5.3820706703504428E-3</v>
      </c>
      <c r="P120" s="168">
        <f>S120*O120</f>
        <v>0</v>
      </c>
      <c r="Q120" s="167">
        <f>IF(Projektforudsætninger!$B$14="Ja",Arbejdsark!R139*0.5/2.3,0%)</f>
        <v>0</v>
      </c>
      <c r="R120" s="169">
        <f>S120*Q120</f>
        <v>0</v>
      </c>
      <c r="S120" s="170">
        <f>IF(Arbejdsark!$N$139=Arbejdsark!$L$140,Arbejdsark!$M$140,IF(Arbejdsark!$N$139=Arbejdsark!$L$141,Arbejdsark!$M$141,IF(Arbejdsark!$N$139=Arbejdsark!$L$142,Arbejdsark!$M$142,0)))</f>
        <v>0</v>
      </c>
    </row>
    <row r="121" spans="12:19" ht="0.4" customHeight="1" outlineLevel="1" x14ac:dyDescent="0.45">
      <c r="L121" s="190"/>
      <c r="M121" s="166" t="str">
        <f>Arbejdsark!C144</f>
        <v>Installationer - overkapacitet</v>
      </c>
      <c r="N121" s="166" t="str">
        <f>Arbejdsark!D144</f>
        <v>Vægtning: TEC1.4 pkt. 1.4.1, 1.4.2, 1.4.3, 2.1 og 2.2</v>
      </c>
      <c r="O121" s="167">
        <f>Arbejdsark!E144</f>
        <v>7.7884615384615392E-3</v>
      </c>
      <c r="P121" s="168">
        <f>S121*O121</f>
        <v>0</v>
      </c>
      <c r="Q121" s="167">
        <f>IF(Projektforudsætninger!$B$14="Ja",Arbejdsark!R144,0%)</f>
        <v>0</v>
      </c>
      <c r="R121" s="169">
        <f>S121*Q121</f>
        <v>0</v>
      </c>
      <c r="S121" s="170">
        <f>IF(Arbejdsark!$N$144=Arbejdsark!$L$145,Arbejdsark!$M$145,IF(Arbejdsark!$N$144=Arbejdsark!$L$146,Arbejdsark!$M$146,IF(Arbejdsark!$N$144=Arbejdsark!$L$147,Arbejdsark!$M$147,0)))</f>
        <v>0</v>
      </c>
    </row>
    <row r="122" spans="12:19" ht="0.4" customHeight="1" outlineLevel="1" x14ac:dyDescent="0.45">
      <c r="L122" s="190"/>
      <c r="M122" s="191"/>
      <c r="N122" s="191"/>
      <c r="O122" s="192"/>
      <c r="P122" s="192"/>
      <c r="Q122" s="192"/>
      <c r="R122" s="193"/>
      <c r="S122" s="194"/>
    </row>
    <row r="123" spans="12:19" outlineLevel="1" x14ac:dyDescent="0.45">
      <c r="L123" s="174" t="str">
        <f>Arbejdsark!A167</f>
        <v>Indeklima</v>
      </c>
      <c r="M123" s="175"/>
      <c r="N123" s="175"/>
      <c r="O123" s="176">
        <f>SUM(O124)</f>
        <v>3.4615384615384617E-2</v>
      </c>
      <c r="P123" s="176">
        <f>SUM(P124)</f>
        <v>0</v>
      </c>
      <c r="Q123" s="176">
        <f>SUM(Q124)</f>
        <v>0</v>
      </c>
      <c r="R123" s="177">
        <f>SUM(R124)</f>
        <v>0</v>
      </c>
      <c r="S123" s="176">
        <f>SUM(S124)</f>
        <v>0</v>
      </c>
    </row>
    <row r="124" spans="12:19" ht="0.4" customHeight="1" outlineLevel="1" x14ac:dyDescent="0.45">
      <c r="L124" s="190"/>
      <c r="M124" s="166" t="str">
        <f>Arbejdsark!C182</f>
        <v xml:space="preserve">Lyd </v>
      </c>
      <c r="N124" s="166" t="str">
        <f>Arbejdsark!D182</f>
        <v>TEC1.2</v>
      </c>
      <c r="O124" s="167">
        <f>Arbejdsark!E182</f>
        <v>3.4615384615384617E-2</v>
      </c>
      <c r="P124" s="168">
        <f>S124*O124</f>
        <v>0</v>
      </c>
      <c r="Q124" s="167">
        <f>IF(Projektforudsætninger!$B$14="Ja",Arbejdsark!R182,0%)</f>
        <v>0</v>
      </c>
      <c r="R124" s="169">
        <f>S124*Q124</f>
        <v>0</v>
      </c>
      <c r="S124" s="170">
        <f>IF(Arbejdsark!N182=Arbejdsark!L183,Arbejdsark!M183,IF(Arbejdsark!N182=Arbejdsark!L184,Arbejdsark!M184,IF(Arbejdsark!N182=Arbejdsark!L185,Arbejdsark!M185,0)))</f>
        <v>0</v>
      </c>
    </row>
    <row r="125" spans="12:19" ht="0.4" customHeight="1" outlineLevel="1" x14ac:dyDescent="0.45">
      <c r="L125" s="190"/>
      <c r="M125" s="191"/>
      <c r="N125" s="191"/>
      <c r="O125" s="192"/>
      <c r="P125" s="192"/>
      <c r="Q125" s="192"/>
      <c r="R125" s="193"/>
      <c r="S125" s="194"/>
    </row>
    <row r="126" spans="12:19" outlineLevel="1" x14ac:dyDescent="0.45">
      <c r="L126" s="174" t="str">
        <f>Arbejdsark!A378</f>
        <v>Personsikkerhed</v>
      </c>
      <c r="M126" s="175"/>
      <c r="N126" s="175"/>
      <c r="O126" s="176">
        <f>SUM(O127:O128)</f>
        <v>3.4615384615384617E-2</v>
      </c>
      <c r="P126" s="176">
        <f>SUM(P127:P128)</f>
        <v>0</v>
      </c>
      <c r="Q126" s="176">
        <f>SUM(Q127:Q128)</f>
        <v>0</v>
      </c>
      <c r="R126" s="177">
        <f>SUM(R127:R128)</f>
        <v>0</v>
      </c>
      <c r="S126" s="176">
        <f>SUM(S127:S128)</f>
        <v>0</v>
      </c>
    </row>
    <row r="127" spans="12:19" outlineLevel="1" x14ac:dyDescent="0.45">
      <c r="L127" s="178"/>
      <c r="M127" s="166" t="str">
        <f>Arbejdsark!C378</f>
        <v>Brandsikkerhed</v>
      </c>
      <c r="N127" s="166" t="str">
        <f>Arbejdsark!D378</f>
        <v>TEC1.1</v>
      </c>
      <c r="O127" s="167">
        <f>Arbejdsark!E378</f>
        <v>2.8846153846153848E-2</v>
      </c>
      <c r="P127" s="168">
        <f>S127*O127</f>
        <v>0</v>
      </c>
      <c r="Q127" s="167">
        <f>IF(Projektforudsætninger!$B$14="Ja",Arbejdsark!R378,0%)</f>
        <v>0</v>
      </c>
      <c r="R127" s="169">
        <f>S127*Q127</f>
        <v>0</v>
      </c>
      <c r="S127" s="170">
        <f>IF(Arbejdsark!$N$378=Arbejdsark!$L$379,Arbejdsark!$M$379,IF(Arbejdsark!$N$378=Arbejdsark!$L$380,Arbejdsark!$M$380,IF(Arbejdsark!$N$378=Arbejdsark!$L$381,Arbejdsark!$M$381,0)))</f>
        <v>0</v>
      </c>
    </row>
    <row r="128" spans="12:19" outlineLevel="1" x14ac:dyDescent="0.45">
      <c r="L128" s="179"/>
      <c r="M128" s="166" t="str">
        <f>Arbejdsark!C383</f>
        <v>Indbrudssikring og kriminalpræventive tiltag</v>
      </c>
      <c r="N128" s="166" t="str">
        <f>Arbejdsark!D383</f>
        <v>TEC1.1
Vægtning: TEC1.1 pkt 3.2.</v>
      </c>
      <c r="O128" s="167">
        <f>Arbejdsark!E383</f>
        <v>5.7692307692307696E-3</v>
      </c>
      <c r="P128" s="168">
        <f>S128*O128</f>
        <v>0</v>
      </c>
      <c r="Q128" s="167">
        <f>IF(Projektforudsætninger!$B$14="Ja",Arbejdsark!R383,0%)</f>
        <v>0</v>
      </c>
      <c r="R128" s="169">
        <f>S128*Q128</f>
        <v>0</v>
      </c>
      <c r="S128" s="170">
        <f>IF(Arbejdsark!$N$383=Arbejdsark!$L$384,Arbejdsark!$M$384,IF(Arbejdsark!$N$383=Arbejdsark!$L$385,Arbejdsark!$M$385,IF(Arbejdsark!$N$383=Arbejdsark!$L$386,Arbejdsark!$M$386,0)))</f>
        <v>0</v>
      </c>
    </row>
    <row r="129" spans="8:19" outlineLevel="1" x14ac:dyDescent="0.45">
      <c r="L129" s="174" t="str">
        <f>Arbejdsark!A388</f>
        <v>Klimaskærmens kvalitet</v>
      </c>
      <c r="M129" s="175"/>
      <c r="N129" s="175"/>
      <c r="O129" s="176">
        <f>SUM(O130:O136)</f>
        <v>3.9807692307692301E-2</v>
      </c>
      <c r="P129" s="176">
        <f>SUM(P130:P136)</f>
        <v>0</v>
      </c>
      <c r="Q129" s="176">
        <f>SUM(Q130:Q136)</f>
        <v>0</v>
      </c>
      <c r="R129" s="177">
        <f>SUM(R130:R136)</f>
        <v>0</v>
      </c>
      <c r="S129" s="176">
        <f>SUM(S130:S136)</f>
        <v>0</v>
      </c>
    </row>
    <row r="130" spans="8:19" ht="0.4" customHeight="1" outlineLevel="1" x14ac:dyDescent="0.45">
      <c r="L130" s="178"/>
      <c r="M130" s="166" t="str">
        <f>Arbejdsark!C388</f>
        <v>U-værdier</v>
      </c>
      <c r="N130" s="166" t="str">
        <f>Arbejdsark!D388</f>
        <v>TEC1.3
Vægtning: TEC1.3 pkt. 1</v>
      </c>
      <c r="O130" s="167">
        <f>Arbejdsark!E388</f>
        <v>1.0384615384615384E-2</v>
      </c>
      <c r="P130" s="168">
        <f t="shared" ref="P130:P136" si="8">S130*O130</f>
        <v>0</v>
      </c>
      <c r="Q130" s="167">
        <f>IF(Projektforudsætninger!$B$14="Ja",Arbejdsark!R388,0%)</f>
        <v>0</v>
      </c>
      <c r="R130" s="169">
        <f t="shared" ref="R130:R136" si="9">S130*Q130</f>
        <v>0</v>
      </c>
      <c r="S130" s="170">
        <f>IF(Arbejdsark!$N$388=Arbejdsark!$L$389,Arbejdsark!$M$389,IF(Arbejdsark!$N$388=Arbejdsark!$L$390,Arbejdsark!$M$390,IF(Arbejdsark!$N$388=Arbejdsark!$L$391,Arbejdsark!$M$391,0)))</f>
        <v>0</v>
      </c>
    </row>
    <row r="131" spans="8:19" ht="0.4" customHeight="1" outlineLevel="1" x14ac:dyDescent="0.45">
      <c r="L131" s="179"/>
      <c r="M131" s="166" t="str">
        <f>Arbejdsark!C393</f>
        <v>Kuldebroer</v>
      </c>
      <c r="N131" s="166" t="str">
        <f>Arbejdsark!D393</f>
        <v>TEC1.3
Vægtning: TEC1.3 pkt. 2</v>
      </c>
      <c r="O131" s="167">
        <f>Arbejdsark!E393</f>
        <v>5.1923076923076922E-3</v>
      </c>
      <c r="P131" s="168">
        <f t="shared" si="8"/>
        <v>0</v>
      </c>
      <c r="Q131" s="167">
        <f>IF(Projektforudsætninger!$B$14="Ja",Arbejdsark!R393,0%)</f>
        <v>0</v>
      </c>
      <c r="R131" s="169">
        <f t="shared" si="9"/>
        <v>0</v>
      </c>
      <c r="S131" s="170">
        <f>IF(Arbejdsark!$N$393=Arbejdsark!$L$394,Arbejdsark!$M$394,IF(Arbejdsark!$N$393=Arbejdsark!$L$395,Arbejdsark!$M$395,IF(Arbejdsark!$N$393=Arbejdsark!$L$396,Arbejdsark!$M$396,0)))</f>
        <v>0</v>
      </c>
    </row>
    <row r="132" spans="8:19" ht="0.4" customHeight="1" outlineLevel="1" x14ac:dyDescent="0.45">
      <c r="L132" s="179"/>
      <c r="M132" s="166" t="str">
        <f>Arbejdsark!C398</f>
        <v>Varmetab</v>
      </c>
      <c r="N132" s="166" t="str">
        <f>Arbejdsark!D398</f>
        <v>TEC1.3
Vægtning: TEC1.3 pkt. 3</v>
      </c>
      <c r="O132" s="167">
        <f>Arbejdsark!E398</f>
        <v>5.1923076923076922E-3</v>
      </c>
      <c r="P132" s="168">
        <f t="shared" si="8"/>
        <v>0</v>
      </c>
      <c r="Q132" s="167">
        <f>IF(Projektforudsætninger!$B$14="Ja",Arbejdsark!R398,0%)</f>
        <v>0</v>
      </c>
      <c r="R132" s="169">
        <f t="shared" si="9"/>
        <v>0</v>
      </c>
      <c r="S132" s="170">
        <f>IF(Arbejdsark!$N$398=Arbejdsark!$L$399,Arbejdsark!$M$399,IF(Arbejdsark!$N$398=Arbejdsark!$L$400,Arbejdsark!$M$400,IF(Arbejdsark!$N$398=Arbejdsark!$L$401,Arbejdsark!$M$401,0)))</f>
        <v>0</v>
      </c>
    </row>
    <row r="133" spans="8:19" ht="0.4" customHeight="1" outlineLevel="1" x14ac:dyDescent="0.45">
      <c r="H133" s="74"/>
      <c r="I133" s="74"/>
      <c r="J133" s="74"/>
      <c r="K133" s="295"/>
      <c r="L133" s="179"/>
      <c r="M133" s="166" t="str">
        <f>Arbejdsark!C403</f>
        <v>Forebyggelse af fugt i vinduesrammer</v>
      </c>
      <c r="N133" s="166" t="str">
        <f>Arbejdsark!D403</f>
        <v>TEC1.3
Vægtning: TEC1.3 pkt. 6</v>
      </c>
      <c r="O133" s="167">
        <f>Arbejdsark!E403</f>
        <v>5.1923076923076922E-3</v>
      </c>
      <c r="P133" s="168">
        <f t="shared" si="8"/>
        <v>0</v>
      </c>
      <c r="Q133" s="167">
        <f>IF(Projektforudsætninger!$B$14="Ja",Arbejdsark!R403,0%)</f>
        <v>0</v>
      </c>
      <c r="R133" s="169">
        <f t="shared" si="9"/>
        <v>0</v>
      </c>
      <c r="S133" s="170">
        <f>IF(Arbejdsark!$N$403=Arbejdsark!$L$404,Arbejdsark!$M$404,IF(Arbejdsark!$N$403=Arbejdsark!$L$405,Arbejdsark!$M$405,IF(Arbejdsark!$N$403=Arbejdsark!$L$406,Arbejdsark!$M$406,0)))</f>
        <v>0</v>
      </c>
    </row>
    <row r="134" spans="8:19" ht="0.4" customHeight="1" outlineLevel="1" x14ac:dyDescent="0.45">
      <c r="H134" s="74"/>
      <c r="I134" s="74"/>
      <c r="J134" s="74"/>
      <c r="K134" s="295"/>
      <c r="L134" s="179"/>
      <c r="M134" s="166"/>
      <c r="N134" s="166"/>
      <c r="O134" s="167">
        <f>Arbejdsark!E408</f>
        <v>5.1923076923076922E-3</v>
      </c>
      <c r="P134" s="168">
        <f t="shared" si="8"/>
        <v>0</v>
      </c>
      <c r="Q134" s="167">
        <f>IF(Projektforudsætninger!$B$14="Ja",Arbejdsark!R408,0%)</f>
        <v>0</v>
      </c>
      <c r="R134" s="169">
        <f t="shared" si="9"/>
        <v>0</v>
      </c>
      <c r="S134" s="170">
        <f>IF(Arbejdsark!$N$408=Arbejdsark!$L$409,Arbejdsark!$M$409,IF(Arbejdsark!$N$408=Arbejdsark!$L$410,Arbejdsark!$M$410,IF(Arbejdsark!$N$408=Arbejdsark!$L$411,Arbejdsark!$M$411,0)))</f>
        <v>0</v>
      </c>
    </row>
    <row r="135" spans="8:19" ht="0.4" customHeight="1" outlineLevel="1" x14ac:dyDescent="0.45">
      <c r="H135" s="74"/>
      <c r="I135" s="74"/>
      <c r="J135" s="74"/>
      <c r="K135" s="295"/>
      <c r="L135" s="179"/>
      <c r="M135" s="166" t="str">
        <f>Arbejdsark!C413</f>
        <v xml:space="preserve">Tæthed </v>
      </c>
      <c r="N135" s="166" t="str">
        <f>Arbejdsark!D413</f>
        <v>TEC1.3
Vægtning: TEC1.3 pkt. 5</v>
      </c>
      <c r="O135" s="167">
        <f>Arbejdsark!E413</f>
        <v>5.1923076923076922E-3</v>
      </c>
      <c r="P135" s="168">
        <f t="shared" si="8"/>
        <v>0</v>
      </c>
      <c r="Q135" s="167">
        <f>IF(Projektforudsætninger!$B$14="Ja",Arbejdsark!R413,0%)</f>
        <v>0</v>
      </c>
      <c r="R135" s="169">
        <f t="shared" si="9"/>
        <v>0</v>
      </c>
      <c r="S135" s="170">
        <f>IF(Arbejdsark!$N$413=Arbejdsark!$L$414,Arbejdsark!$M$414,IF(Arbejdsark!$N$413=Arbejdsark!$L$415,Arbejdsark!$M$415,IF(Arbejdsark!$N$413=Arbejdsark!$L$416,Arbejdsark!$M$416,0)))</f>
        <v>0</v>
      </c>
    </row>
    <row r="136" spans="8:19" ht="0.4" customHeight="1" outlineLevel="1" x14ac:dyDescent="0.45">
      <c r="H136" s="74"/>
      <c r="I136" s="74"/>
      <c r="J136" s="74"/>
      <c r="K136" s="295"/>
      <c r="L136" s="179"/>
      <c r="M136" s="166" t="str">
        <f>Arbejdsark!C418</f>
        <v>Fugt</v>
      </c>
      <c r="N136" s="166" t="str">
        <f>Arbejdsark!D418</f>
        <v>TEC1.3
Vægtning: TEC1.3 pkt. 4</v>
      </c>
      <c r="O136" s="167">
        <f>Arbejdsark!E418</f>
        <v>3.4615384615384621E-3</v>
      </c>
      <c r="P136" s="168">
        <f t="shared" si="8"/>
        <v>0</v>
      </c>
      <c r="Q136" s="167">
        <f>IF(Projektforudsætninger!$B$14="Ja",Arbejdsark!R418,0%)</f>
        <v>0</v>
      </c>
      <c r="R136" s="169">
        <f t="shared" si="9"/>
        <v>0</v>
      </c>
      <c r="S136" s="170">
        <f>IF(Arbejdsark!$N$418=Arbejdsark!$L$419,Arbejdsark!$M$419,IF(Arbejdsark!$N$418=Arbejdsark!$L$420,Arbejdsark!$M$420,IF(Arbejdsark!$N$418=Arbejdsark!$L$421,Arbejdsark!$M$421,0)))</f>
        <v>0</v>
      </c>
    </row>
    <row r="137" spans="8:19" ht="0.4" customHeight="1" outlineLevel="1" x14ac:dyDescent="0.45">
      <c r="H137" s="74"/>
      <c r="I137" s="74"/>
      <c r="J137" s="74"/>
      <c r="K137" s="295"/>
      <c r="L137" s="179"/>
      <c r="M137" s="166"/>
      <c r="N137" s="166"/>
      <c r="O137" s="167"/>
      <c r="P137" s="168"/>
      <c r="Q137" s="167"/>
      <c r="R137" s="169"/>
      <c r="S137" s="170"/>
    </row>
    <row r="138" spans="8:19" outlineLevel="1" x14ac:dyDescent="0.45">
      <c r="H138" s="71"/>
      <c r="I138" s="71"/>
      <c r="J138" s="74"/>
      <c r="K138" s="295"/>
      <c r="L138" s="174" t="str">
        <f>Arbejdsark!A424</f>
        <v>Renhold og vedligehold</v>
      </c>
      <c r="M138" s="175"/>
      <c r="N138" s="175"/>
      <c r="O138" s="176">
        <f>SUM(O139:O144)</f>
        <v>3.4615384615384617E-2</v>
      </c>
      <c r="P138" s="176">
        <f>SUM(P139:P144)</f>
        <v>0</v>
      </c>
      <c r="Q138" s="176">
        <f>SUM(Q139:Q144)</f>
        <v>0</v>
      </c>
      <c r="R138" s="177">
        <f>SUM(R139:R144)</f>
        <v>0</v>
      </c>
      <c r="S138" s="176">
        <f>SUM(S139:S144)</f>
        <v>0</v>
      </c>
    </row>
    <row r="139" spans="8:19" ht="0.4" customHeight="1" outlineLevel="1" thickBot="1" x14ac:dyDescent="0.5">
      <c r="H139" s="28"/>
      <c r="I139" s="28"/>
      <c r="J139" s="74"/>
      <c r="K139" s="295"/>
      <c r="L139" s="178"/>
      <c r="M139" s="166" t="str">
        <f>Arbejdsark!C424</f>
        <v>Konstruktioner</v>
      </c>
      <c r="N139" s="166" t="str">
        <f>Arbejdsark!D424</f>
        <v>TEC1.5
Vægtning: TEC1.5 pkt. 1</v>
      </c>
      <c r="O139" s="167">
        <f>Arbejdsark!E424</f>
        <v>5.1923076923076922E-3</v>
      </c>
      <c r="P139" s="168">
        <f t="shared" ref="P139:P144" si="10">S139*O139</f>
        <v>0</v>
      </c>
      <c r="Q139" s="167">
        <f>IF(Projektforudsætninger!$B$14="Ja",Arbejdsark!R424,0%)</f>
        <v>0</v>
      </c>
      <c r="R139" s="169">
        <f t="shared" ref="R139:R144" si="11">S139*Q139</f>
        <v>0</v>
      </c>
      <c r="S139" s="170">
        <f>IF(Arbejdsark!$N$424=Arbejdsark!$L$425,Arbejdsark!$M$425,IF(Arbejdsark!$N$424=Arbejdsark!$L$426,Arbejdsark!$M$426,IF(Arbejdsark!$N$424=Arbejdsark!$L$427,Arbejdsark!$M$427,0)))</f>
        <v>0</v>
      </c>
    </row>
    <row r="140" spans="8:19" ht="0.4" customHeight="1" outlineLevel="1" thickBot="1" x14ac:dyDescent="0.5">
      <c r="H140" s="28"/>
      <c r="I140" s="28"/>
      <c r="J140" s="74"/>
      <c r="K140" s="295"/>
      <c r="L140" s="179"/>
      <c r="M140" s="166" t="str">
        <f>Arbejdsark!C429</f>
        <v>Vinduespudsning</v>
      </c>
      <c r="N140" s="166" t="str">
        <f>Arbejdsark!D429</f>
        <v>TEC1.5
Vægtning: TEC1.5 pkt. 2</v>
      </c>
      <c r="O140" s="167">
        <f>Arbejdsark!E429</f>
        <v>6.9230769230769242E-3</v>
      </c>
      <c r="P140" s="168">
        <f t="shared" si="10"/>
        <v>0</v>
      </c>
      <c r="Q140" s="167">
        <f>IF(Projektforudsætninger!$B$14="Ja",Arbejdsark!R429,0%)</f>
        <v>0</v>
      </c>
      <c r="R140" s="169">
        <f t="shared" si="11"/>
        <v>0</v>
      </c>
      <c r="S140" s="170">
        <f>IF(Arbejdsark!$N$429=Arbejdsark!$L$430,Arbejdsark!$M$430,IF(Arbejdsark!$N$429=Arbejdsark!$L$431,Arbejdsark!$M$431,IF(Arbejdsark!$N$429=Arbejdsark!$L$432,Arbejdsark!$M$432,0)))</f>
        <v>0</v>
      </c>
    </row>
    <row r="141" spans="8:19" ht="0.4" customHeight="1" outlineLevel="1" thickBot="1" x14ac:dyDescent="0.5">
      <c r="H141" s="28"/>
      <c r="I141" s="28"/>
      <c r="J141" s="74"/>
      <c r="K141" s="295"/>
      <c r="L141" s="179"/>
      <c r="M141" s="166" t="str">
        <f>Arbejdsark!C434</f>
        <v>Gulvbelægning</v>
      </c>
      <c r="N141" s="166" t="str">
        <f>Arbejdsark!D434</f>
        <v>TEC1.5
Vægtning: TEC1.5 pkt. 3.1</v>
      </c>
      <c r="O141" s="167">
        <f>Arbejdsark!E434</f>
        <v>6.9230769230769242E-3</v>
      </c>
      <c r="P141" s="168">
        <f t="shared" si="10"/>
        <v>0</v>
      </c>
      <c r="Q141" s="167">
        <f>IF(Projektforudsætninger!$B$14="Ja",Arbejdsark!R434,0%)</f>
        <v>0</v>
      </c>
      <c r="R141" s="169">
        <f t="shared" si="11"/>
        <v>0</v>
      </c>
      <c r="S141" s="170">
        <f>IF(Arbejdsark!$N$434=Arbejdsark!$L$435,Arbejdsark!$M$435,IF(Arbejdsark!$N$434=Arbejdsark!$L$436,Arbejdsark!$M$436,IF(Arbejdsark!$N$434=Arbejdsark!$L$437,Arbejdsark!$M$437,0)))</f>
        <v>0</v>
      </c>
    </row>
    <row r="142" spans="8:19" outlineLevel="1" x14ac:dyDescent="0.45">
      <c r="H142" s="28"/>
      <c r="I142" s="28"/>
      <c r="J142" s="74"/>
      <c r="K142" s="295"/>
      <c r="L142" s="179"/>
      <c r="M142" s="166" t="str">
        <f>Arbejdsark!C439</f>
        <v>Adgangsveje</v>
      </c>
      <c r="N142" s="166" t="str">
        <f>Arbejdsark!D439</f>
        <v>TEC1.5
Vægtning: TEC1.5 pkt. 3.2</v>
      </c>
      <c r="O142" s="167">
        <f>Arbejdsark!E439</f>
        <v>6.9230769230769242E-3</v>
      </c>
      <c r="P142" s="168">
        <f t="shared" si="10"/>
        <v>0</v>
      </c>
      <c r="Q142" s="167">
        <f>IF(Projektforudsætninger!$B$14="Ja",Arbejdsark!R439,0%)</f>
        <v>0</v>
      </c>
      <c r="R142" s="169">
        <f t="shared" si="11"/>
        <v>0</v>
      </c>
      <c r="S142" s="170">
        <f>IF(Arbejdsark!$N$439=Arbejdsark!$L$440,Arbejdsark!$M$440,IF(Arbejdsark!$N$439=Arbejdsark!$L$441,Arbejdsark!$M$441,IF(Arbejdsark!$N$439=Arbejdsark!$L$442,Arbejdsark!$M$442,0)))</f>
        <v>0</v>
      </c>
    </row>
    <row r="143" spans="8:19" outlineLevel="1" x14ac:dyDescent="0.45">
      <c r="H143" s="28"/>
      <c r="I143" s="28"/>
      <c r="J143" s="74"/>
      <c r="K143" s="295"/>
      <c r="L143" s="179"/>
      <c r="M143" s="166" t="str">
        <f>Arbejdsark!C444</f>
        <v>Renhold omkring konstruktioner og tekniske installationer</v>
      </c>
      <c r="N143" s="166" t="str">
        <f>Arbejdsark!D444</f>
        <v>TEC1.5
Vægtning: TEC1.5 75% af pkt. 3.3 + 3.4</v>
      </c>
      <c r="O143" s="167">
        <f>Arbejdsark!E444</f>
        <v>6.9230769230769242E-3</v>
      </c>
      <c r="P143" s="168">
        <f t="shared" si="10"/>
        <v>0</v>
      </c>
      <c r="Q143" s="167">
        <f>IF(Projektforudsætninger!$B$14="Ja",Arbejdsark!R444,0%)</f>
        <v>0</v>
      </c>
      <c r="R143" s="169">
        <f t="shared" si="11"/>
        <v>0</v>
      </c>
      <c r="S143" s="170">
        <f>IF(Arbejdsark!$N$444=Arbejdsark!$L$445,Arbejdsark!$M$445,IF(Arbejdsark!$N$444=Arbejdsark!$L$446,Arbejdsark!$M$446,IF(Arbejdsark!$N$444=Arbejdsark!$L$447,Arbejdsark!$M$447,0)))</f>
        <v>0</v>
      </c>
    </row>
    <row r="144" spans="8:19" outlineLevel="1" x14ac:dyDescent="0.45">
      <c r="H144" s="28"/>
      <c r="I144" s="28"/>
      <c r="J144" s="74"/>
      <c r="K144" s="295"/>
      <c r="L144" s="179"/>
      <c r="M144" s="166" t="str">
        <f>Arbejdsark!C449</f>
        <v>Materialer i vådrum</v>
      </c>
      <c r="N144" s="166" t="str">
        <f>Arbejdsark!D449</f>
        <v>TEC1.5
Vægtning: TEC1.5 25% af pkt. 3.3</v>
      </c>
      <c r="O144" s="167">
        <f>Arbejdsark!E449</f>
        <v>1.730769230769231E-3</v>
      </c>
      <c r="P144" s="168">
        <f t="shared" si="10"/>
        <v>0</v>
      </c>
      <c r="Q144" s="167">
        <f>IF(Projektforudsætninger!$B$14="Ja",Arbejdsark!R449,0%)</f>
        <v>0</v>
      </c>
      <c r="R144" s="169">
        <f t="shared" si="11"/>
        <v>0</v>
      </c>
      <c r="S144" s="170">
        <f>IF(Arbejdsark!$N$449=Arbejdsark!$L$450,Arbejdsark!$M$450,IF(Arbejdsark!$N$449=Arbejdsark!$L$451,Arbejdsark!$M$451,IF(Arbejdsark!$N$449=Arbejdsark!$L$452,Arbejdsark!$M$452,0)))</f>
        <v>0</v>
      </c>
    </row>
    <row r="145" spans="1:35" ht="14.65" outlineLevel="1" thickBot="1" x14ac:dyDescent="0.5">
      <c r="H145" s="28"/>
      <c r="I145" s="28"/>
      <c r="J145" s="74"/>
      <c r="K145" s="295"/>
      <c r="L145" s="187"/>
      <c r="M145" s="181"/>
      <c r="N145" s="181"/>
      <c r="O145" s="182"/>
      <c r="P145" s="183"/>
      <c r="Q145" s="182"/>
      <c r="R145" s="184"/>
      <c r="S145" s="185"/>
    </row>
    <row r="146" spans="1:35" s="74" customFormat="1" outlineLevel="1" x14ac:dyDescent="0.45">
      <c r="H146" s="28"/>
      <c r="I146" s="28"/>
      <c r="K146" s="295"/>
      <c r="L146" s="174" t="str">
        <f>Arbejdsark!A455</f>
        <v>Idriftsættelse</v>
      </c>
      <c r="M146" s="175"/>
      <c r="N146" s="175"/>
      <c r="O146" s="176">
        <f>SUM(O147)</f>
        <v>3.4615384615384617E-2</v>
      </c>
      <c r="P146" s="176">
        <f>SUM(P147)</f>
        <v>0</v>
      </c>
      <c r="Q146" s="176">
        <f>SUM(Q147)</f>
        <v>0</v>
      </c>
      <c r="R146" s="177">
        <f>SUM(R147)</f>
        <v>0</v>
      </c>
      <c r="S146" s="176">
        <f>SUM(S147)</f>
        <v>0</v>
      </c>
      <c r="T146" s="295"/>
      <c r="U146" s="295"/>
      <c r="V146" s="295"/>
      <c r="W146" s="295"/>
      <c r="X146" s="295"/>
      <c r="Y146" s="295"/>
      <c r="Z146" s="295"/>
      <c r="AA146" s="295"/>
      <c r="AB146" s="295"/>
      <c r="AC146" s="295"/>
      <c r="AD146" s="295"/>
      <c r="AE146" s="295"/>
      <c r="AF146" s="295"/>
      <c r="AG146" s="295"/>
      <c r="AH146" s="295"/>
      <c r="AI146" s="295"/>
    </row>
    <row r="147" spans="1:35" s="74" customFormat="1" ht="14.65" outlineLevel="1" thickBot="1" x14ac:dyDescent="0.5">
      <c r="H147" s="28"/>
      <c r="I147" s="28"/>
      <c r="K147" s="295"/>
      <c r="L147" s="200"/>
      <c r="M147" s="181" t="str">
        <f>Arbejdsark!C455</f>
        <v>Systematisk idriftsættelse</v>
      </c>
      <c r="N147" s="181" t="str">
        <f>Arbejdsark!D455</f>
        <v>TEC1.7</v>
      </c>
      <c r="O147" s="182">
        <f>Arbejdsark!E455</f>
        <v>3.4615384615384617E-2</v>
      </c>
      <c r="P147" s="183">
        <f>S147*O147</f>
        <v>0</v>
      </c>
      <c r="Q147" s="182">
        <f>IF(Projektforudsætninger!$B$14="Ja",Arbejdsark!R455,0%)</f>
        <v>0</v>
      </c>
      <c r="R147" s="184">
        <f>S147*Q147</f>
        <v>0</v>
      </c>
      <c r="S147" s="185">
        <f>IF(Arbejdsark!$N$455=Arbejdsark!$L$456,Arbejdsark!$M$456,IF(Arbejdsark!$N$455=Arbejdsark!$L$457,Arbejdsark!$M$457,IF(Arbejdsark!$N$455=Arbejdsark!$L$458,Arbejdsark!$M$458,0)))</f>
        <v>0</v>
      </c>
      <c r="T147" s="295"/>
      <c r="U147" s="295"/>
      <c r="V147" s="295"/>
      <c r="W147" s="295"/>
      <c r="X147" s="295"/>
      <c r="Y147" s="295"/>
      <c r="Z147" s="295"/>
      <c r="AA147" s="295"/>
      <c r="AB147" s="295"/>
      <c r="AC147" s="295"/>
      <c r="AD147" s="295"/>
      <c r="AE147" s="295"/>
      <c r="AF147" s="295"/>
      <c r="AG147" s="295"/>
      <c r="AH147" s="295"/>
      <c r="AI147" s="295"/>
    </row>
    <row r="148" spans="1:35" ht="14.65" outlineLevel="1" thickBot="1" x14ac:dyDescent="0.5">
      <c r="H148" s="28"/>
      <c r="I148" s="28"/>
      <c r="J148" s="74"/>
      <c r="K148" s="295"/>
      <c r="L148" s="155" t="str">
        <f>Arbejdsark!A460</f>
        <v>PROCES KVALITET</v>
      </c>
      <c r="M148" s="156"/>
      <c r="N148" s="156"/>
      <c r="O148" s="157">
        <f>SUM(O152,O155,O162,O165,O168,O173,O181)</f>
        <v>0.11595410628019323</v>
      </c>
      <c r="P148" s="157">
        <f>SUM(P152,P155,P162,P165,P168,P173,P181)</f>
        <v>0</v>
      </c>
      <c r="Q148" s="157">
        <f>SUM(Q149,Q152,Q155,Q162,Q165,Q168,Q173,Q181)</f>
        <v>0</v>
      </c>
      <c r="R148" s="158">
        <f>SUM(R149,R152,R155,R162,R165,R168,R173,R181)</f>
        <v>0</v>
      </c>
      <c r="S148" s="159"/>
    </row>
    <row r="149" spans="1:35" outlineLevel="1" x14ac:dyDescent="0.45">
      <c r="H149" s="28"/>
      <c r="I149" s="28"/>
      <c r="J149" s="74"/>
      <c r="K149" s="295"/>
      <c r="L149" s="161" t="str">
        <f>Arbejdsark!A265</f>
        <v>Tryghed og sikkerhed</v>
      </c>
      <c r="M149" s="162"/>
      <c r="N149" s="162"/>
      <c r="O149" s="163">
        <f>SUM(O150)</f>
        <v>0</v>
      </c>
      <c r="P149" s="163">
        <f>SUM(P150)</f>
        <v>0</v>
      </c>
      <c r="Q149" s="163">
        <f>SUM(Q150)</f>
        <v>0</v>
      </c>
      <c r="R149" s="164">
        <f>SUM(R150)</f>
        <v>0</v>
      </c>
      <c r="S149" s="163">
        <f>SUM(S150)</f>
        <v>0</v>
      </c>
    </row>
    <row r="150" spans="1:35" ht="0.4" customHeight="1" outlineLevel="1" x14ac:dyDescent="0.45">
      <c r="H150" s="28"/>
      <c r="I150" s="28"/>
      <c r="J150" s="74"/>
      <c r="K150" s="295"/>
      <c r="L150" s="190"/>
      <c r="M150" s="166" t="str">
        <f>Arbejdsark!C270</f>
        <v>Forebyggelse af uheld</v>
      </c>
      <c r="N150" s="166">
        <f>Arbejdsark!D275</f>
        <v>0</v>
      </c>
      <c r="O150" s="167">
        <f>Arbejdsark!E275</f>
        <v>0</v>
      </c>
      <c r="P150" s="168">
        <f>S150*O150</f>
        <v>0</v>
      </c>
      <c r="Q150" s="167">
        <f>IF(Projektforudsætninger!$B$14="Ja",Arbejdsark!R275,0%)</f>
        <v>0</v>
      </c>
      <c r="R150" s="169">
        <f>S150*Q150</f>
        <v>0</v>
      </c>
      <c r="S150" s="170">
        <f>SUM(Arbejdsark!N276:N277)</f>
        <v>0</v>
      </c>
    </row>
    <row r="151" spans="1:35" ht="0.4" customHeight="1" outlineLevel="1" x14ac:dyDescent="0.45">
      <c r="A151" s="74"/>
      <c r="B151" s="74"/>
      <c r="C151" s="74"/>
      <c r="D151" s="74"/>
      <c r="E151" s="74"/>
      <c r="F151" s="74"/>
      <c r="G151" s="74"/>
      <c r="H151" s="74"/>
      <c r="I151" s="74"/>
      <c r="J151" s="74"/>
      <c r="K151" s="295"/>
      <c r="L151" s="190"/>
      <c r="M151" s="191"/>
      <c r="N151" s="191"/>
      <c r="O151" s="192"/>
      <c r="P151" s="192"/>
      <c r="Q151" s="192"/>
      <c r="R151" s="193"/>
      <c r="S151" s="194"/>
    </row>
    <row r="152" spans="1:35" outlineLevel="1" x14ac:dyDescent="0.45">
      <c r="A152" s="74"/>
      <c r="B152" s="74"/>
      <c r="C152" s="74"/>
      <c r="D152" s="74"/>
      <c r="E152" s="74"/>
      <c r="F152" s="74"/>
      <c r="G152" s="74"/>
      <c r="H152" s="74"/>
      <c r="I152" s="74"/>
      <c r="J152" s="74"/>
      <c r="K152" s="295"/>
      <c r="L152" s="174" t="str">
        <f>Arbejdsark!A462</f>
        <v>Byggeprogram</v>
      </c>
      <c r="M152" s="175"/>
      <c r="N152" s="175"/>
      <c r="O152" s="176">
        <f>SUM(O153)</f>
        <v>1.1666666666666665E-2</v>
      </c>
      <c r="P152" s="176">
        <f>SUM(P153)</f>
        <v>0</v>
      </c>
      <c r="Q152" s="176">
        <f>SUM(Q153)</f>
        <v>0</v>
      </c>
      <c r="R152" s="177">
        <f>SUM(R153)</f>
        <v>0</v>
      </c>
      <c r="S152" s="176">
        <f>SUM(S153)</f>
        <v>0</v>
      </c>
    </row>
    <row r="153" spans="1:35" ht="0.4" customHeight="1" outlineLevel="1" x14ac:dyDescent="0.45">
      <c r="A153" s="74"/>
      <c r="B153" s="74"/>
      <c r="C153" s="74"/>
      <c r="D153" s="74"/>
      <c r="E153" s="74"/>
      <c r="F153" s="74"/>
      <c r="G153" s="74"/>
      <c r="H153" s="74"/>
      <c r="I153" s="74"/>
      <c r="J153" s="74"/>
      <c r="K153" s="295"/>
      <c r="L153" s="178"/>
      <c r="M153" s="166" t="str">
        <f>Arbejdsark!C462</f>
        <v>Niveau for detaljering</v>
      </c>
      <c r="N153" s="166" t="str">
        <f>Arbejdsark!D462</f>
        <v>PRO1.1
Vægtning: PRO1.1 pkt. 1 + 2</v>
      </c>
      <c r="O153" s="167">
        <f>Arbejdsark!E462</f>
        <v>1.1666666666666665E-2</v>
      </c>
      <c r="P153" s="168">
        <f>S153*O153</f>
        <v>0</v>
      </c>
      <c r="Q153" s="167">
        <f>IF(Projektforudsætninger!$B$14="Ja",Arbejdsark!R462,0%)</f>
        <v>0</v>
      </c>
      <c r="R153" s="169">
        <f>S153*Q153</f>
        <v>0</v>
      </c>
      <c r="S153" s="170">
        <f>IF(Arbejdsark!$N$462=Arbejdsark!$L$463,Arbejdsark!$M$463,IF(Arbejdsark!$N$462=Arbejdsark!$L$464,Arbejdsark!$M$464,IF(Arbejdsark!$N$462=Arbejdsark!$L$465,Arbejdsark!$M$465,0)))</f>
        <v>0</v>
      </c>
    </row>
    <row r="154" spans="1:35" ht="0.4" customHeight="1" outlineLevel="1" x14ac:dyDescent="0.45">
      <c r="A154" s="74"/>
      <c r="B154" s="74"/>
      <c r="C154" s="74"/>
      <c r="D154" s="74"/>
      <c r="E154" s="74"/>
      <c r="F154" s="74"/>
      <c r="G154" s="74"/>
      <c r="H154" s="74"/>
      <c r="I154" s="74"/>
      <c r="J154" s="74"/>
      <c r="K154" s="295"/>
      <c r="L154" s="179"/>
      <c r="M154" s="166"/>
      <c r="N154" s="166"/>
      <c r="O154" s="167"/>
      <c r="P154" s="168"/>
      <c r="Q154" s="167"/>
      <c r="R154" s="169"/>
      <c r="S154" s="170"/>
    </row>
    <row r="155" spans="1:35" outlineLevel="1" x14ac:dyDescent="0.45">
      <c r="A155" s="74"/>
      <c r="B155" s="74"/>
      <c r="C155" s="74"/>
      <c r="D155" s="74"/>
      <c r="E155" s="74"/>
      <c r="F155" s="74"/>
      <c r="G155" s="74"/>
      <c r="H155" s="74"/>
      <c r="I155" s="74"/>
      <c r="J155" s="74"/>
      <c r="K155" s="295"/>
      <c r="L155" s="174" t="str">
        <f>Arbejdsark!A467</f>
        <v>Integreret designproces</v>
      </c>
      <c r="M155" s="175"/>
      <c r="N155" s="175"/>
      <c r="O155" s="176">
        <f>SUM(O156:O160)</f>
        <v>2.1666666666666667E-2</v>
      </c>
      <c r="P155" s="176">
        <f>SUM(P156:P160)</f>
        <v>0</v>
      </c>
      <c r="Q155" s="176">
        <f>SUM(Q156:Q160)</f>
        <v>0</v>
      </c>
      <c r="R155" s="177">
        <f>SUM(R156:R160)</f>
        <v>0</v>
      </c>
      <c r="S155" s="176">
        <f>SUM(S156:S160)</f>
        <v>0</v>
      </c>
    </row>
    <row r="156" spans="1:35" ht="0.4" customHeight="1" outlineLevel="1" x14ac:dyDescent="0.45">
      <c r="A156" s="74"/>
      <c r="B156" s="74"/>
      <c r="C156" s="74"/>
      <c r="D156" s="74"/>
      <c r="E156" s="74"/>
      <c r="F156" s="74"/>
      <c r="G156" s="74"/>
      <c r="H156" s="74"/>
      <c r="I156" s="74"/>
      <c r="J156" s="74"/>
      <c r="K156" s="295"/>
      <c r="L156" s="178"/>
      <c r="M156" s="166" t="str">
        <f>Arbejdsark!C467</f>
        <v>Brugerudstyrs bidrag til energiforbrug</v>
      </c>
      <c r="N156" s="166" t="str">
        <f>Arbejdsark!D467</f>
        <v>PRO1.1 
Vægtning: PRO1.1 pkt. 3</v>
      </c>
      <c r="O156" s="167">
        <f>Arbejdsark!E467</f>
        <v>5.0000000000000001E-3</v>
      </c>
      <c r="P156" s="168">
        <f>S156*O156</f>
        <v>0</v>
      </c>
      <c r="Q156" s="167">
        <f>IF(Projektforudsætninger!$B$14="Ja",Arbejdsark!R467,0%)</f>
        <v>0</v>
      </c>
      <c r="R156" s="169">
        <f>S156*Q156</f>
        <v>0</v>
      </c>
      <c r="S156" s="170">
        <f>IF(Arbejdsark!$N$467=Arbejdsark!$L$468,Arbejdsark!$M$468,IF(Arbejdsark!$N$467=Arbejdsark!$L$469,Arbejdsark!$M$469,IF(Arbejdsark!$N$467=Arbejdsark!$L$470,Arbejdsark!$M$470,0)))</f>
        <v>0</v>
      </c>
    </row>
    <row r="157" spans="1:35" ht="0.4" customHeight="1" outlineLevel="1" x14ac:dyDescent="0.45">
      <c r="A157" s="74"/>
      <c r="B157" s="74"/>
      <c r="C157" s="74"/>
      <c r="D157" s="74"/>
      <c r="E157" s="74"/>
      <c r="F157" s="74"/>
      <c r="G157" s="74"/>
      <c r="H157" s="74"/>
      <c r="I157" s="74"/>
      <c r="J157" s="74"/>
      <c r="K157" s="295"/>
      <c r="L157" s="179"/>
      <c r="M157" s="166" t="str">
        <f>Arbejdsark!C472</f>
        <v>Organisering af designteam</v>
      </c>
      <c r="N157" s="166" t="str">
        <f>Arbejdsark!D472</f>
        <v>PRO1.2
Vægtning: PRO1.2 pkt. 1</v>
      </c>
      <c r="O157" s="167">
        <f>Arbejdsark!E472</f>
        <v>5.0000000000000001E-3</v>
      </c>
      <c r="P157" s="168">
        <f>S157*O157</f>
        <v>0</v>
      </c>
      <c r="Q157" s="167">
        <f>IF(Projektforudsætninger!$B$14="Ja",Arbejdsark!R472,0%)</f>
        <v>0</v>
      </c>
      <c r="R157" s="169">
        <f>S157*Q157</f>
        <v>0</v>
      </c>
      <c r="S157" s="170">
        <f>IF(Arbejdsark!$N$472=Arbejdsark!$L$473,Arbejdsark!$M$473,IF(Arbejdsark!$N$472=Arbejdsark!$L$474,Arbejdsark!$M$474,IF(Arbejdsark!$N$472=Arbejdsark!$L$475,Arbejdsark!$M$475,0)))</f>
        <v>0</v>
      </c>
    </row>
    <row r="158" spans="1:35" ht="0.4" customHeight="1" outlineLevel="1" x14ac:dyDescent="0.45">
      <c r="A158" s="74"/>
      <c r="B158" s="74"/>
      <c r="C158" s="74"/>
      <c r="D158" s="74"/>
      <c r="E158" s="74"/>
      <c r="F158" s="74"/>
      <c r="G158" s="74"/>
      <c r="H158" s="74"/>
      <c r="I158" s="74"/>
      <c r="J158" s="74"/>
      <c r="K158" s="295"/>
      <c r="L158" s="179"/>
      <c r="M158" s="166" t="str">
        <f>Arbejdsark!C477</f>
        <v>Brugerinddragelse</v>
      </c>
      <c r="N158" s="166" t="str">
        <f>Arbejdsark!D477</f>
        <v>PRO1.2
Vægtning: PRO1.2 pkt. 2</v>
      </c>
      <c r="O158" s="167">
        <f>Arbejdsark!E477</f>
        <v>5.0000000000000001E-3</v>
      </c>
      <c r="P158" s="168">
        <f>S158*O158</f>
        <v>0</v>
      </c>
      <c r="Q158" s="167">
        <f>IF(Projektforudsætninger!$B$14="Ja",Arbejdsark!R477,0%)</f>
        <v>0</v>
      </c>
      <c r="R158" s="169">
        <f>S158*Q158</f>
        <v>0</v>
      </c>
      <c r="S158" s="170">
        <f>IF(Arbejdsark!$N$477=Arbejdsark!$L$478,Arbejdsark!$M$478,IF(Arbejdsark!$N$477=Arbejdsark!$L$479,Arbejdsark!$M$479,IF(Arbejdsark!$N$477=Arbejdsark!$L$480,Arbejdsark!$M$480,0)))</f>
        <v>0</v>
      </c>
    </row>
    <row r="159" spans="1:35" ht="0.4" customHeight="1" outlineLevel="1" x14ac:dyDescent="0.45">
      <c r="A159" s="74"/>
      <c r="B159" s="74"/>
      <c r="C159" s="74"/>
      <c r="D159" s="74"/>
      <c r="E159" s="74"/>
      <c r="F159" s="74"/>
      <c r="G159" s="74"/>
      <c r="H159" s="74"/>
      <c r="I159" s="74"/>
      <c r="J159" s="74"/>
      <c r="K159" s="295"/>
      <c r="L159" s="179"/>
      <c r="M159" s="166" t="str">
        <f>Arbejdsark!C482</f>
        <v>Naboinddragelse</v>
      </c>
      <c r="N159" s="166" t="str">
        <f>Arbejdsark!D482</f>
        <v>PRO1.2
Vægtning: PRO1.2 pkt. 3</v>
      </c>
      <c r="O159" s="167">
        <f>Arbejdsark!E482</f>
        <v>1.6666666666666668E-3</v>
      </c>
      <c r="P159" s="168">
        <f>S159*O159</f>
        <v>0</v>
      </c>
      <c r="Q159" s="167">
        <f>IF(Projektforudsætninger!$B$14="Ja",Arbejdsark!R482,0%)</f>
        <v>0</v>
      </c>
      <c r="R159" s="169">
        <f>S159*Q159</f>
        <v>0</v>
      </c>
      <c r="S159" s="170">
        <f>IF(Arbejdsark!$N$482=Arbejdsark!$L$483,Arbejdsark!$M$483,IF(Arbejdsark!$N$482=Arbejdsark!$L$484,Arbejdsark!$M$484,IF(Arbejdsark!$N$482=Arbejdsark!$L$485,Arbejdsark!$M$485,0)))</f>
        <v>0</v>
      </c>
    </row>
    <row r="160" spans="1:35" ht="0.4" customHeight="1" outlineLevel="1" x14ac:dyDescent="0.45">
      <c r="A160" s="74"/>
      <c r="B160" s="74"/>
      <c r="C160" s="74"/>
      <c r="D160" s="74"/>
      <c r="E160" s="74"/>
      <c r="F160" s="74"/>
      <c r="G160" s="74"/>
      <c r="H160" s="74"/>
      <c r="I160" s="74"/>
      <c r="J160" s="74"/>
      <c r="K160" s="295"/>
      <c r="L160" s="179"/>
      <c r="M160" s="166" t="str">
        <f>Arbejdsark!C487</f>
        <v>Bæredygtighedsplan</v>
      </c>
      <c r="N160" s="166">
        <f>Arbejdsark!D483</f>
        <v>0</v>
      </c>
      <c r="O160" s="167">
        <f>Arbejdsark!E487</f>
        <v>5.0000000000000001E-3</v>
      </c>
      <c r="P160" s="168">
        <f>S160*O160</f>
        <v>0</v>
      </c>
      <c r="Q160" s="167">
        <f>IF(Projektforudsætninger!$B$14="Ja",Arbejdsark!R487,0%)</f>
        <v>0</v>
      </c>
      <c r="R160" s="169">
        <f>S160*Q160</f>
        <v>0</v>
      </c>
      <c r="S160" s="170">
        <f>IF(Arbejdsark!$N$487=Arbejdsark!$L$488,Arbejdsark!$M$488,IF(Arbejdsark!$N$487=Arbejdsark!$L$489,Arbejdsark!$M$489,IF(Arbejdsark!$N$487=Arbejdsark!$L$490,Arbejdsark!$M$490,0)))</f>
        <v>0</v>
      </c>
    </row>
    <row r="161" spans="1:20" ht="0.4" customHeight="1" outlineLevel="1" x14ac:dyDescent="0.45">
      <c r="A161" s="74"/>
      <c r="B161" s="74"/>
      <c r="C161" s="74"/>
      <c r="D161" s="74"/>
      <c r="E161" s="74"/>
      <c r="F161" s="74"/>
      <c r="G161" s="74"/>
      <c r="H161" s="74"/>
      <c r="I161" s="74"/>
      <c r="J161" s="74"/>
      <c r="K161" s="295"/>
      <c r="L161" s="179"/>
      <c r="M161" s="166"/>
      <c r="N161" s="166"/>
      <c r="O161" s="167"/>
      <c r="P161" s="168"/>
      <c r="Q161" s="167"/>
      <c r="R161" s="169"/>
      <c r="S161" s="170"/>
    </row>
    <row r="162" spans="1:20" outlineLevel="1" x14ac:dyDescent="0.45">
      <c r="A162" s="74"/>
      <c r="B162" s="74"/>
      <c r="C162" s="74"/>
      <c r="D162" s="74"/>
      <c r="E162" s="74"/>
      <c r="F162" s="74"/>
      <c r="G162" s="74"/>
      <c r="H162" s="74"/>
      <c r="I162" s="74"/>
      <c r="J162" s="74"/>
      <c r="K162" s="295"/>
      <c r="L162" s="174" t="str">
        <f>Arbejdsark!A492</f>
        <v>Koncepter</v>
      </c>
      <c r="M162" s="175"/>
      <c r="N162" s="175"/>
      <c r="O162" s="176">
        <f>SUM(O163:O163)</f>
        <v>3.6231884057971009E-2</v>
      </c>
      <c r="P162" s="176">
        <f>SUM(P163:P163)</f>
        <v>0</v>
      </c>
      <c r="Q162" s="176">
        <f>SUM(Q163:Q163)</f>
        <v>0</v>
      </c>
      <c r="R162" s="177">
        <f>SUM(R163:R163)</f>
        <v>0</v>
      </c>
      <c r="S162" s="176">
        <f>SUM(S163:S163)</f>
        <v>0</v>
      </c>
    </row>
    <row r="163" spans="1:20" x14ac:dyDescent="0.45">
      <c r="A163" s="74"/>
      <c r="B163" s="74"/>
      <c r="C163" s="74"/>
      <c r="D163" s="74"/>
      <c r="E163" s="74"/>
      <c r="F163" s="74"/>
      <c r="G163" s="74"/>
      <c r="H163" s="74"/>
      <c r="I163" s="74"/>
      <c r="J163" s="74"/>
      <c r="K163" s="295"/>
      <c r="L163" s="178"/>
      <c r="M163" s="166" t="str">
        <f>Arbejdsark!C492</f>
        <v>Koncepter for bæredygtige tiltag</v>
      </c>
      <c r="N163" s="166" t="str">
        <f>Arbejdsark!D492</f>
        <v>PRO1.3
Vægtning: PRO1.3 + ECO2.2 pkt. 3</v>
      </c>
      <c r="O163" s="167">
        <f>Arbejdsark!E492</f>
        <v>3.6231884057971009E-2</v>
      </c>
      <c r="P163" s="168">
        <f>S163*O163</f>
        <v>0</v>
      </c>
      <c r="Q163" s="167">
        <f>IF(Projektforudsætninger!$B$14="Ja",Arbejdsark!R492,0%)</f>
        <v>0</v>
      </c>
      <c r="R163" s="169">
        <f>S163*Q163</f>
        <v>0</v>
      </c>
      <c r="S163" s="170">
        <f>IF(Arbejdsark!$N$492=Arbejdsark!$L$493,Arbejdsark!$M$493,IF(Arbejdsark!$N$492=Arbejdsark!$L$494,Arbejdsark!$M$494,IF(Arbejdsark!$N$492=Arbejdsark!$L$495,Arbejdsark!$M$495,0)))</f>
        <v>0</v>
      </c>
    </row>
    <row r="164" spans="1:20" outlineLevel="1" x14ac:dyDescent="0.45">
      <c r="A164" s="798"/>
      <c r="B164" s="798"/>
      <c r="C164" s="74"/>
      <c r="D164" s="74"/>
      <c r="E164" s="74"/>
      <c r="F164" s="74"/>
      <c r="G164" s="74"/>
      <c r="H164" s="74"/>
      <c r="I164" s="74"/>
      <c r="J164" s="74"/>
      <c r="K164" s="295"/>
      <c r="L164" s="179"/>
      <c r="M164" s="166"/>
      <c r="N164" s="166"/>
      <c r="O164" s="167"/>
      <c r="P164" s="168"/>
      <c r="Q164" s="167"/>
      <c r="R164" s="169"/>
      <c r="S164" s="170"/>
      <c r="T164" s="295"/>
    </row>
    <row r="165" spans="1:20" outlineLevel="1" x14ac:dyDescent="0.45">
      <c r="A165" s="798"/>
      <c r="B165" s="798"/>
      <c r="C165" s="74"/>
      <c r="D165" s="74"/>
      <c r="E165" s="74"/>
      <c r="F165" s="74"/>
      <c r="G165" s="74"/>
      <c r="H165" s="74"/>
      <c r="I165" s="74"/>
      <c r="J165" s="74"/>
      <c r="K165" s="295"/>
      <c r="L165" s="174" t="str">
        <f>Arbejdsark!A497</f>
        <v>Entrepriseudbud</v>
      </c>
      <c r="M165" s="175"/>
      <c r="N165" s="175"/>
      <c r="O165" s="176">
        <f>SUM(O166:O166)</f>
        <v>1.1111111111111112E-2</v>
      </c>
      <c r="P165" s="176">
        <f>SUM(P166:P166)</f>
        <v>0</v>
      </c>
      <c r="Q165" s="176">
        <f>SUM(Q166:Q166)</f>
        <v>0</v>
      </c>
      <c r="R165" s="177">
        <f>SUM(R166:R166)</f>
        <v>0</v>
      </c>
      <c r="S165" s="176">
        <f>SUM(S166:S166)</f>
        <v>0</v>
      </c>
      <c r="T165" s="295"/>
    </row>
    <row r="166" spans="1:20" outlineLevel="1" x14ac:dyDescent="0.45">
      <c r="A166" s="798"/>
      <c r="B166" s="798"/>
      <c r="C166" s="74"/>
      <c r="D166" s="74"/>
      <c r="E166" s="74"/>
      <c r="F166" s="74"/>
      <c r="G166" s="74"/>
      <c r="H166" s="74"/>
      <c r="I166" s="74"/>
      <c r="J166" s="74"/>
      <c r="K166" s="295"/>
      <c r="L166" s="178"/>
      <c r="M166" s="166" t="str">
        <f>Arbejdsark!C497</f>
        <v>Udvælgelse (prækvalificering)</v>
      </c>
      <c r="N166" s="166" t="str">
        <f>Arbejdsark!D497</f>
        <v xml:space="preserve">PRO1.4
</v>
      </c>
      <c r="O166" s="167">
        <f>Arbejdsark!E497</f>
        <v>1.1111111111111112E-2</v>
      </c>
      <c r="P166" s="168">
        <f>S166*O166</f>
        <v>0</v>
      </c>
      <c r="Q166" s="167">
        <f>IF(Projektforudsætninger!$B$14="Ja",Arbejdsark!R497,0%)</f>
        <v>0</v>
      </c>
      <c r="R166" s="169">
        <f>S166*Q166</f>
        <v>0</v>
      </c>
      <c r="S166" s="170">
        <f>IF(Arbejdsark!$N$497=Arbejdsark!$L$498,Arbejdsark!$M$498,IF(Arbejdsark!$N$497=Arbejdsark!$L$499,Arbejdsark!$M$499,IF(Arbejdsark!$N$497=Arbejdsark!$L$500,Arbejdsark!$M$500,0)))</f>
        <v>0</v>
      </c>
      <c r="T166" s="295"/>
    </row>
    <row r="167" spans="1:20" ht="15" customHeight="1" outlineLevel="1" thickBot="1" x14ac:dyDescent="0.5">
      <c r="A167" s="34"/>
      <c r="B167" s="34"/>
      <c r="C167" s="34"/>
      <c r="D167" s="34"/>
      <c r="E167" s="34"/>
      <c r="F167" s="34"/>
      <c r="G167" s="34"/>
      <c r="H167" s="34"/>
      <c r="I167" s="34"/>
      <c r="J167" s="34"/>
      <c r="K167" s="99"/>
      <c r="L167" s="180"/>
      <c r="M167" s="181"/>
      <c r="N167" s="181"/>
      <c r="O167" s="182"/>
      <c r="P167" s="183"/>
      <c r="Q167" s="182"/>
      <c r="R167" s="184"/>
      <c r="S167" s="185"/>
      <c r="T167" s="186"/>
    </row>
    <row r="168" spans="1:20" ht="15" customHeight="1" outlineLevel="1" x14ac:dyDescent="0.45">
      <c r="A168" s="74"/>
      <c r="B168" s="74"/>
      <c r="C168" s="74"/>
      <c r="D168" s="74"/>
      <c r="E168" s="74"/>
      <c r="F168" s="74"/>
      <c r="G168" s="74"/>
      <c r="H168" s="74"/>
      <c r="I168" s="74"/>
      <c r="J168" s="74"/>
      <c r="K168" s="295"/>
      <c r="L168" s="161" t="str">
        <f>Arbejdsark!A502</f>
        <v>Kvalitet af aflevering til driftspersonale</v>
      </c>
      <c r="M168" s="162"/>
      <c r="N168" s="162"/>
      <c r="O168" s="163">
        <f>SUM(O169:O171)</f>
        <v>1.1111111111111112E-2</v>
      </c>
      <c r="P168" s="163">
        <f>SUM(P169:P171)</f>
        <v>0</v>
      </c>
      <c r="Q168" s="163">
        <f>SUM(Q169:Q171)</f>
        <v>0</v>
      </c>
      <c r="R168" s="164">
        <f>SUM(R169:R171)</f>
        <v>0</v>
      </c>
      <c r="S168" s="163">
        <f>SUM(S169:S171)</f>
        <v>0</v>
      </c>
      <c r="T168" s="295"/>
    </row>
    <row r="169" spans="1:20" ht="0.4" customHeight="1" outlineLevel="1" x14ac:dyDescent="0.45">
      <c r="A169" s="74"/>
      <c r="B169" s="74"/>
      <c r="C169" s="74"/>
      <c r="D169" s="74"/>
      <c r="E169" s="74"/>
      <c r="F169" s="74"/>
      <c r="G169" s="74"/>
      <c r="H169" s="74"/>
      <c r="I169" s="74"/>
      <c r="J169" s="74"/>
      <c r="K169" s="295"/>
      <c r="L169" s="178"/>
      <c r="M169" s="166" t="str">
        <f>Arbejdsark!C502</f>
        <v>D&amp;V-materiale</v>
      </c>
      <c r="N169" s="166" t="str">
        <f>Arbejdsark!D502</f>
        <v>PRO1.5
Vægtning: PRO1.5 pkt. 1</v>
      </c>
      <c r="O169" s="167">
        <f>Arbejdsark!E502</f>
        <v>3.3333333333333335E-3</v>
      </c>
      <c r="P169" s="168">
        <f>S169*O169</f>
        <v>0</v>
      </c>
      <c r="Q169" s="167">
        <f>IF(Projektforudsætninger!$B$14="Ja",Arbejdsark!R502,0%)</f>
        <v>0</v>
      </c>
      <c r="R169" s="169">
        <f>S169*Q169</f>
        <v>0</v>
      </c>
      <c r="S169" s="170">
        <f>IF(Arbejdsark!$N$502=Arbejdsark!$L$503,Arbejdsark!$M$503,IF(Arbejdsark!$N$502=Arbejdsark!$L$504,Arbejdsark!$M$504,IF(Arbejdsark!$N$502=Arbejdsark!$L$505,Arbejdsark!$M$505,0)))</f>
        <v>0</v>
      </c>
      <c r="T169" s="295"/>
    </row>
    <row r="170" spans="1:20" ht="0.4" customHeight="1" outlineLevel="1" x14ac:dyDescent="0.45">
      <c r="A170" s="74"/>
      <c r="B170" s="74"/>
      <c r="C170" s="74"/>
      <c r="D170" s="74"/>
      <c r="E170" s="74"/>
      <c r="F170" s="74"/>
      <c r="G170" s="74"/>
      <c r="H170" s="74"/>
      <c r="I170" s="74"/>
      <c r="J170" s="74"/>
      <c r="K170" s="295"/>
      <c r="L170" s="179"/>
      <c r="M170" s="166" t="str">
        <f>Arbejdsark!C507</f>
        <v>As Built</v>
      </c>
      <c r="N170" s="166" t="str">
        <f>Arbejdsark!D507</f>
        <v>PRO1.5
Vægtning: PRO1.5 pkt. 2</v>
      </c>
      <c r="O170" s="167">
        <f>Arbejdsark!E507</f>
        <v>3.3333333333333335E-3</v>
      </c>
      <c r="P170" s="168">
        <f>S170*O170</f>
        <v>0</v>
      </c>
      <c r="Q170" s="167">
        <f>IF(Projektforudsætninger!$B$14="Ja",Arbejdsark!R507,0%)</f>
        <v>0</v>
      </c>
      <c r="R170" s="169">
        <f>S170*Q170</f>
        <v>0</v>
      </c>
      <c r="S170" s="170">
        <f>IF(Arbejdsark!$N$507=Arbejdsark!$L$508,Arbejdsark!$M$508,IF(Arbejdsark!$N$507=Arbejdsark!$L$509,Arbejdsark!$M$509,IF(Arbejdsark!$N$507=Arbejdsark!$L$510,Arbejdsark!$M$510,0)))</f>
        <v>0</v>
      </c>
      <c r="T170" s="295"/>
    </row>
    <row r="171" spans="1:20" ht="0.4" customHeight="1" outlineLevel="1" x14ac:dyDescent="0.45">
      <c r="A171" s="74"/>
      <c r="B171" s="74"/>
      <c r="C171" s="74"/>
      <c r="D171" s="74"/>
      <c r="E171" s="74"/>
      <c r="F171" s="74"/>
      <c r="G171" s="74"/>
      <c r="H171" s="74"/>
      <c r="I171" s="74"/>
      <c r="J171" s="74"/>
      <c r="K171" s="295"/>
      <c r="L171" s="179"/>
      <c r="M171" s="166" t="str">
        <f>Arbejdsark!C512</f>
        <v>Brugermanual - indhold og ansvar</v>
      </c>
      <c r="N171" s="166" t="str">
        <f>Arbejdsark!D512</f>
        <v>PRO1.5
Vægtning: PRO1.5 pkt. 3</v>
      </c>
      <c r="O171" s="167">
        <f>Arbejdsark!E512</f>
        <v>4.4444444444444444E-3</v>
      </c>
      <c r="P171" s="168">
        <f>S171*O171</f>
        <v>0</v>
      </c>
      <c r="Q171" s="167">
        <f>IF(Projektforudsætninger!$B$14="Ja",Arbejdsark!R512,0%)</f>
        <v>0</v>
      </c>
      <c r="R171" s="169">
        <f>S171*Q171</f>
        <v>0</v>
      </c>
      <c r="S171" s="170">
        <f>IF(Arbejdsark!$N$512=Arbejdsark!$L$513,Arbejdsark!$M$513,IF(Arbejdsark!$N$512=Arbejdsark!$L$514,Arbejdsark!$M$514,IF(Arbejdsark!$N$512=Arbejdsark!$L$515,Arbejdsark!$M$515,0)))</f>
        <v>0</v>
      </c>
      <c r="T171" s="295"/>
    </row>
    <row r="172" spans="1:20" ht="0.4" customHeight="1" outlineLevel="1" x14ac:dyDescent="0.45">
      <c r="A172" s="74"/>
      <c r="B172" s="74"/>
      <c r="C172" s="74"/>
      <c r="D172" s="74"/>
      <c r="E172" s="74"/>
      <c r="F172" s="74"/>
      <c r="G172" s="74"/>
      <c r="H172" s="74"/>
      <c r="I172" s="74"/>
      <c r="J172" s="74"/>
      <c r="K172" s="295"/>
      <c r="L172" s="179"/>
      <c r="M172" s="166"/>
      <c r="N172" s="166"/>
      <c r="O172" s="167"/>
      <c r="P172" s="168"/>
      <c r="Q172" s="167"/>
      <c r="R172" s="169"/>
      <c r="S172" s="170"/>
      <c r="T172" s="295"/>
    </row>
    <row r="173" spans="1:20" outlineLevel="1" x14ac:dyDescent="0.45">
      <c r="A173" s="74"/>
      <c r="B173" s="74"/>
      <c r="C173" s="74"/>
      <c r="D173" s="74"/>
      <c r="E173" s="74"/>
      <c r="F173" s="74"/>
      <c r="G173" s="74"/>
      <c r="H173" s="74"/>
      <c r="I173" s="74"/>
      <c r="J173" s="74"/>
      <c r="K173" s="295"/>
      <c r="L173" s="174" t="str">
        <f>Arbejdsark!A517</f>
        <v>Byggeplads</v>
      </c>
      <c r="M173" s="175"/>
      <c r="N173" s="175"/>
      <c r="O173" s="176">
        <f>SUM(O174:O179)</f>
        <v>0.01</v>
      </c>
      <c r="P173" s="176">
        <f>SUM(P174:P179)</f>
        <v>0</v>
      </c>
      <c r="Q173" s="176">
        <f>SUM(Q174:Q179)</f>
        <v>0</v>
      </c>
      <c r="R173" s="177">
        <f>SUM(R174:R179)</f>
        <v>0</v>
      </c>
      <c r="S173" s="176">
        <f>SUM(S174:S179)</f>
        <v>0</v>
      </c>
      <c r="T173" s="295"/>
    </row>
    <row r="174" spans="1:20" ht="0.4" customHeight="1" outlineLevel="1" x14ac:dyDescent="0.45">
      <c r="A174" s="74"/>
      <c r="B174" s="74"/>
      <c r="C174" s="74"/>
      <c r="D174" s="74"/>
      <c r="E174" s="74"/>
      <c r="F174" s="74"/>
      <c r="G174" s="74"/>
      <c r="H174" s="74"/>
      <c r="I174" s="74"/>
      <c r="J174" s="74"/>
      <c r="K174" s="295"/>
      <c r="L174" s="178"/>
      <c r="M174" s="166" t="str">
        <f>Arbejdsark!C517</f>
        <v>Affald</v>
      </c>
      <c r="N174" s="166" t="str">
        <f>Arbejdsark!D517</f>
        <v>PRO2.1
Vægtning: PRO2.1 pkt. 1</v>
      </c>
      <c r="O174" s="167">
        <f>Arbejdsark!E517</f>
        <v>1.6666666666666668E-3</v>
      </c>
      <c r="P174" s="168">
        <f t="shared" ref="P174:P179" si="12">S174*O174</f>
        <v>0</v>
      </c>
      <c r="Q174" s="167">
        <f>IF(Projektforudsætninger!$B$14="Ja",Arbejdsark!R517,0%)</f>
        <v>0</v>
      </c>
      <c r="R174" s="169">
        <f t="shared" ref="R174:R179" si="13">S174*Q174</f>
        <v>0</v>
      </c>
      <c r="S174" s="170">
        <f>IF(Arbejdsark!$N$517=Arbejdsark!$L$518,Arbejdsark!$M$518,IF(Arbejdsark!$N$517=Arbejdsark!$L$519,Arbejdsark!$M$519,IF(Arbejdsark!$N$517=Arbejdsark!$L$520,Arbejdsark!$M$520,0)))</f>
        <v>0</v>
      </c>
      <c r="T174" s="295"/>
    </row>
    <row r="175" spans="1:20" ht="0.4" customHeight="1" outlineLevel="1" x14ac:dyDescent="0.45">
      <c r="A175" s="74"/>
      <c r="B175" s="74"/>
      <c r="C175" s="74"/>
      <c r="D175" s="74"/>
      <c r="E175" s="74"/>
      <c r="F175" s="74"/>
      <c r="G175" s="74"/>
      <c r="H175" s="74"/>
      <c r="I175" s="74"/>
      <c r="J175" s="74"/>
      <c r="K175" s="295"/>
      <c r="L175" s="179"/>
      <c r="M175" s="166" t="str">
        <f>Arbejdsark!C522</f>
        <v>Støj og vibrationer</v>
      </c>
      <c r="N175" s="166" t="str">
        <f>Arbejdsark!D522</f>
        <v>PRO2.1
Vægtning: PRO2.1 pkt. 2</v>
      </c>
      <c r="O175" s="167">
        <f>Arbejdsark!E522</f>
        <v>1.6666666666666668E-3</v>
      </c>
      <c r="P175" s="168">
        <f t="shared" si="12"/>
        <v>0</v>
      </c>
      <c r="Q175" s="167">
        <f>IF(Projektforudsætninger!$B$14="Ja",Arbejdsark!R522,0%)</f>
        <v>0</v>
      </c>
      <c r="R175" s="169">
        <f t="shared" si="13"/>
        <v>0</v>
      </c>
      <c r="S175" s="170">
        <f>IF(Arbejdsark!$N$522=Arbejdsark!$L$523,Arbejdsark!$M$523,IF(Arbejdsark!$N$522=Arbejdsark!$L$524,Arbejdsark!$M$524,IF(Arbejdsark!$N$522=Arbejdsark!$L$525,Arbejdsark!$M$525,0)))</f>
        <v>0</v>
      </c>
      <c r="T175" s="295"/>
    </row>
    <row r="176" spans="1:20" ht="0.4" customHeight="1" outlineLevel="1" x14ac:dyDescent="0.45">
      <c r="A176" s="74"/>
      <c r="B176" s="74"/>
      <c r="C176" s="74"/>
      <c r="D176" s="74"/>
      <c r="E176" s="74"/>
      <c r="F176" s="74"/>
      <c r="G176" s="74"/>
      <c r="H176" s="74"/>
      <c r="I176" s="74"/>
      <c r="J176" s="74"/>
      <c r="K176" s="295"/>
      <c r="L176" s="179"/>
      <c r="M176" s="166" t="str">
        <f>Arbejdsark!C527</f>
        <v>Støv</v>
      </c>
      <c r="N176" s="166" t="str">
        <f>Arbejdsark!D527</f>
        <v>PRO2.1
Vægtning: PRO2.1 pkt. 3</v>
      </c>
      <c r="O176" s="167">
        <f>Arbejdsark!E527</f>
        <v>1.6666666666666668E-3</v>
      </c>
      <c r="P176" s="168">
        <f t="shared" si="12"/>
        <v>0</v>
      </c>
      <c r="Q176" s="167">
        <f>IF(Projektforudsætninger!$B$14="Ja",Arbejdsark!R527,0%)</f>
        <v>0</v>
      </c>
      <c r="R176" s="169">
        <f t="shared" si="13"/>
        <v>0</v>
      </c>
      <c r="S176" s="170">
        <f>IF(Arbejdsark!$N$527=Arbejdsark!$L$528,Arbejdsark!$M$528,IF(Arbejdsark!$N$527=Arbejdsark!$L$529,Arbejdsark!$M$529,IF(Arbejdsark!$N$527=Arbejdsark!$L$530,Arbejdsark!$M$530,0)))</f>
        <v>0</v>
      </c>
      <c r="T176" s="295"/>
    </row>
    <row r="177" spans="1:20" ht="0.4" customHeight="1" outlineLevel="1" x14ac:dyDescent="0.45">
      <c r="A177" s="74"/>
      <c r="B177" s="74"/>
      <c r="C177" s="74"/>
      <c r="D177" s="74"/>
      <c r="E177" s="74"/>
      <c r="F177" s="74"/>
      <c r="G177" s="74"/>
      <c r="H177" s="74"/>
      <c r="I177" s="74"/>
      <c r="J177" s="74"/>
      <c r="K177" s="295"/>
      <c r="L177" s="179"/>
      <c r="M177" s="166" t="str">
        <f>Arbejdsark!C532</f>
        <v>Miljøbeskyttelse (vand, kemi og beplantning)</v>
      </c>
      <c r="N177" s="166" t="str">
        <f>Arbejdsark!D532</f>
        <v>PRO2.1
Vægtning: PRO2.1 pkt. 4</v>
      </c>
      <c r="O177" s="167">
        <f>Arbejdsark!E532</f>
        <v>1.6666666666666668E-3</v>
      </c>
      <c r="P177" s="168">
        <f t="shared" si="12"/>
        <v>0</v>
      </c>
      <c r="Q177" s="167">
        <f>IF(Projektforudsætninger!$B$14="Ja",Arbejdsark!R532,0%)</f>
        <v>0</v>
      </c>
      <c r="R177" s="169">
        <f t="shared" si="13"/>
        <v>0</v>
      </c>
      <c r="S177" s="170">
        <f>IF(Arbejdsark!$N$532=Arbejdsark!$L$533,Arbejdsark!$M$533,IF(Arbejdsark!$N$532=Arbejdsark!$L$534,Arbejdsark!$M$534,IF(Arbejdsark!$N$532=Arbejdsark!$L$535,Arbejdsark!$M$535,0)))</f>
        <v>0</v>
      </c>
      <c r="T177" s="295"/>
    </row>
    <row r="178" spans="1:20" ht="0.4" customHeight="1" outlineLevel="1" x14ac:dyDescent="0.45">
      <c r="L178" s="179"/>
      <c r="M178" s="166" t="str">
        <f>Arbejdsark!C537</f>
        <v>Energi</v>
      </c>
      <c r="N178" s="166" t="str">
        <f>Arbejdsark!D537</f>
        <v>PRO2.1
Vægtning: PRO2.1 pkt. 5</v>
      </c>
      <c r="O178" s="167">
        <f>Arbejdsark!E537</f>
        <v>1.6666666666666668E-3</v>
      </c>
      <c r="P178" s="168">
        <f t="shared" si="12"/>
        <v>0</v>
      </c>
      <c r="Q178" s="167">
        <f>IF(Projektforudsætninger!$B$14="Ja",Arbejdsark!R537,0%)</f>
        <v>0</v>
      </c>
      <c r="R178" s="169">
        <f t="shared" si="13"/>
        <v>0</v>
      </c>
      <c r="S178" s="170">
        <f>IF(Arbejdsark!$N$537=Arbejdsark!$L$538,Arbejdsark!$M$538,IF(Arbejdsark!$N$537=Arbejdsark!$L$539,Arbejdsark!$M$539,IF(Arbejdsark!$N$537=Arbejdsark!$L$540,Arbejdsark!$M$540,0)))</f>
        <v>0</v>
      </c>
    </row>
    <row r="179" spans="1:20" ht="0.4" customHeight="1" outlineLevel="1" x14ac:dyDescent="0.45">
      <c r="L179" s="179"/>
      <c r="M179" s="166" t="str">
        <f>Arbejdsark!C542</f>
        <v>Nabohensyn</v>
      </c>
      <c r="N179" s="166" t="str">
        <f>Arbejdsark!D542</f>
        <v>PRO2.1
Vægtning: PRO2.1 pkt. 6</v>
      </c>
      <c r="O179" s="167">
        <f>Arbejdsark!E542</f>
        <v>1.6666666666666668E-3</v>
      </c>
      <c r="P179" s="168">
        <f t="shared" si="12"/>
        <v>0</v>
      </c>
      <c r="Q179" s="167">
        <f>IF(Projektforudsætninger!$B$14="Ja",Arbejdsark!R542,0%)</f>
        <v>0</v>
      </c>
      <c r="R179" s="169">
        <f t="shared" si="13"/>
        <v>0</v>
      </c>
      <c r="S179" s="170">
        <f>IF(Arbejdsark!$N$542=Arbejdsark!$L$543,Arbejdsark!$M$543,IF(Arbejdsark!$N$542=Arbejdsark!$L$544,Arbejdsark!$M$544,IF(Arbejdsark!$N$542=Arbejdsark!$L$545,Arbejdsark!$M$545,0)))</f>
        <v>0</v>
      </c>
    </row>
    <row r="180" spans="1:20" ht="0.4" customHeight="1" outlineLevel="1" x14ac:dyDescent="0.45">
      <c r="L180" s="179"/>
      <c r="M180" s="166"/>
      <c r="N180" s="166"/>
      <c r="O180" s="167"/>
      <c r="P180" s="168"/>
      <c r="Q180" s="167"/>
      <c r="R180" s="169"/>
      <c r="S180" s="170"/>
    </row>
    <row r="181" spans="1:20" outlineLevel="1" x14ac:dyDescent="0.45">
      <c r="L181" s="174" t="str">
        <f>Arbejdsark!A548</f>
        <v>Eftervisende dokumentation</v>
      </c>
      <c r="M181" s="175"/>
      <c r="N181" s="175"/>
      <c r="O181" s="176">
        <f>SUM(O182:O185)</f>
        <v>1.4166666666666668E-2</v>
      </c>
      <c r="P181" s="176">
        <f>SUM(P182:P185)</f>
        <v>0</v>
      </c>
      <c r="Q181" s="176">
        <f>SUM(Q182:Q185)</f>
        <v>0</v>
      </c>
      <c r="R181" s="177">
        <f>SUM(R182:R185)</f>
        <v>0</v>
      </c>
      <c r="S181" s="176">
        <f>SUM(S182:S185)</f>
        <v>0</v>
      </c>
    </row>
    <row r="182" spans="1:20" ht="0.4" customHeight="1" outlineLevel="1" x14ac:dyDescent="0.45">
      <c r="L182" s="178"/>
      <c r="M182" s="166" t="str">
        <f>Arbejdsark!C548</f>
        <v>Byggevarer</v>
      </c>
      <c r="N182" s="166" t="str">
        <f>Arbejdsark!D548</f>
        <v>PRO2.2
Vægtning: PRO2.2 pkt. 1</v>
      </c>
      <c r="O182" s="167">
        <f>Arbejdsark!E548</f>
        <v>7.4999999999999997E-3</v>
      </c>
      <c r="P182" s="168">
        <f>S182*O182</f>
        <v>0</v>
      </c>
      <c r="Q182" s="167">
        <f>IF(Projektforudsætninger!$B$14="Ja",Arbejdsark!R548,0%)</f>
        <v>0</v>
      </c>
      <c r="R182" s="169">
        <f>S182*Q182</f>
        <v>0</v>
      </c>
      <c r="S182" s="170">
        <f>IF(Arbejdsark!$N$548=Arbejdsark!$L$549,Arbejdsark!$M$549,IF(Arbejdsark!$N$548=Arbejdsark!$L$550,Arbejdsark!$M$550,IF(Arbejdsark!$N$548=Arbejdsark!$L$551,Arbejdsark!$M$551,0)))</f>
        <v>0</v>
      </c>
    </row>
    <row r="183" spans="1:20" ht="0.4" customHeight="1" outlineLevel="1" x14ac:dyDescent="0.45">
      <c r="L183" s="179"/>
      <c r="M183" s="166" t="str">
        <f>Arbejdsark!C553</f>
        <v>Lydforhold/akustik i bygningen</v>
      </c>
      <c r="N183" s="166" t="str">
        <f>Arbejdsark!D553</f>
        <v>PRO2.2
Vægtning: PRO2.2 pkt. 2.2</v>
      </c>
      <c r="O183" s="167">
        <f>Arbejdsark!E553</f>
        <v>1.6666666666666668E-3</v>
      </c>
      <c r="P183" s="168">
        <f>S183*O183</f>
        <v>0</v>
      </c>
      <c r="Q183" s="167">
        <f>IF(Projektforudsætninger!$B$14="Ja",Arbejdsark!R553,0%)</f>
        <v>0</v>
      </c>
      <c r="R183" s="169">
        <f>S183*Q183</f>
        <v>0</v>
      </c>
      <c r="S183" s="170">
        <f>IF(Arbejdsark!$N$553=Arbejdsark!$L$554,Arbejdsark!$M$554,IF(Arbejdsark!$N$553=Arbejdsark!$L$555,Arbejdsark!$M$555,IF(Arbejdsark!$N$553=Arbejdsark!$L$556,Arbejdsark!$M$556,0)))</f>
        <v>0</v>
      </c>
    </row>
    <row r="184" spans="1:20" ht="0.4" customHeight="1" outlineLevel="1" x14ac:dyDescent="0.45">
      <c r="L184" s="179"/>
      <c r="M184" s="166" t="str">
        <f>Arbejdsark!C558</f>
        <v>Fugt</v>
      </c>
      <c r="N184" s="166" t="str">
        <f>Arbejdsark!D558</f>
        <v>PRO2.2
Vægtning: PRO2.2 pkt. 2.3</v>
      </c>
      <c r="O184" s="167">
        <f>Arbejdsark!E558</f>
        <v>2.5000000000000001E-3</v>
      </c>
      <c r="P184" s="168">
        <f>S184*O184</f>
        <v>0</v>
      </c>
      <c r="Q184" s="167">
        <f>IF(Projektforudsætninger!$B$14="Ja",Arbejdsark!R558,0%)</f>
        <v>0</v>
      </c>
      <c r="R184" s="169">
        <f>S184*Q184</f>
        <v>0</v>
      </c>
      <c r="S184" s="170">
        <f>IF(Arbejdsark!$N$558=Arbejdsark!$L$559,Arbejdsark!$M$559,IF(Arbejdsark!$N$558=Arbejdsark!$L$560,Arbejdsark!$M$560,IF(Arbejdsark!$N$558=Arbejdsark!$L$561,Arbejdsark!$M$561,0)))</f>
        <v>0</v>
      </c>
    </row>
    <row r="185" spans="1:20" ht="0.4" customHeight="1" outlineLevel="1" x14ac:dyDescent="0.45">
      <c r="L185" s="179"/>
      <c r="M185" s="166" t="str">
        <f>Arbejdsark!C563</f>
        <v>Eftervisning af klimaskærmens kvalitet</v>
      </c>
      <c r="N185" s="166" t="str">
        <f>Arbejdsark!D563</f>
        <v>PRO2.2 
Vægtning: PRO2.2 pkt. 2.1</v>
      </c>
      <c r="O185" s="167">
        <f>Arbejdsark!E563</f>
        <v>2.5000000000000001E-3</v>
      </c>
      <c r="P185" s="168">
        <f>S185*O185</f>
        <v>0</v>
      </c>
      <c r="Q185" s="167">
        <f>IF(Projektforudsætninger!$B$14="Ja",Arbejdsark!R563,0%)</f>
        <v>0</v>
      </c>
      <c r="R185" s="169">
        <f>S185*Q185</f>
        <v>0</v>
      </c>
      <c r="S185" s="170">
        <f>IF(Arbejdsark!$N$563=Arbejdsark!$L$564,Arbejdsark!$M$564,IF(Arbejdsark!$N$563=Arbejdsark!$L$565,Arbejdsark!$M$565,IF(Arbejdsark!$N$563=Arbejdsark!$L$566,Arbejdsark!$M$566,0)))</f>
        <v>0</v>
      </c>
    </row>
    <row r="186" spans="1:20" ht="0.4" customHeight="1" outlineLevel="1" x14ac:dyDescent="0.45">
      <c r="L186" s="179"/>
      <c r="M186" s="166"/>
      <c r="N186" s="166"/>
      <c r="O186" s="167"/>
      <c r="P186" s="168"/>
      <c r="Q186" s="167"/>
      <c r="R186" s="169"/>
      <c r="S186" s="170"/>
    </row>
    <row r="187" spans="1:20" outlineLevel="1" x14ac:dyDescent="0.45">
      <c r="L187" s="69"/>
      <c r="M187" s="69"/>
      <c r="N187" s="69"/>
      <c r="O187" s="69"/>
      <c r="P187" s="69"/>
      <c r="Q187" s="69"/>
      <c r="R187" s="69"/>
      <c r="S187" s="69"/>
    </row>
    <row r="188" spans="1:20" ht="14.65" outlineLevel="1" thickBot="1" x14ac:dyDescent="0.5">
      <c r="L188" s="69"/>
      <c r="M188" s="69"/>
      <c r="N188" s="69"/>
      <c r="O188" s="69"/>
      <c r="P188" s="69"/>
      <c r="Q188" s="69"/>
      <c r="R188" s="69"/>
      <c r="S188" s="69"/>
    </row>
    <row r="189" spans="1:20" outlineLevel="1" x14ac:dyDescent="0.45">
      <c r="L189" s="154"/>
      <c r="M189" s="154"/>
      <c r="N189" s="154"/>
      <c r="O189" s="201"/>
      <c r="P189" s="295"/>
      <c r="Q189" s="202"/>
      <c r="R189" s="295"/>
      <c r="S189" s="203"/>
    </row>
    <row r="190" spans="1:20" outlineLevel="1" x14ac:dyDescent="0.45">
      <c r="L190" s="154">
        <f>Arbejdsark!A459</f>
        <v>0</v>
      </c>
      <c r="M190" s="154">
        <f>Arbejdsark!C459</f>
        <v>0</v>
      </c>
      <c r="N190" s="154">
        <f>Arbejdsark!D459</f>
        <v>0</v>
      </c>
      <c r="O190" s="201">
        <f>Arbejdsark!E459</f>
        <v>0</v>
      </c>
      <c r="P190" s="295"/>
      <c r="Q190" s="154">
        <f>Arbejdsark!R459</f>
        <v>0</v>
      </c>
      <c r="R190" s="295"/>
      <c r="S190" s="204" t="e">
        <f>Arbejdsark!#REF!</f>
        <v>#REF!</v>
      </c>
    </row>
    <row r="191" spans="1:20" outlineLevel="1" x14ac:dyDescent="0.45">
      <c r="L191" s="154" t="str">
        <f>Arbejdsark!A578</f>
        <v>GRUNDEN OG LOKALOMRÅDET</v>
      </c>
      <c r="M191" s="154">
        <f>Arbejdsark!C578</f>
        <v>0</v>
      </c>
      <c r="N191" s="154">
        <f>Arbejdsark!D578</f>
        <v>0</v>
      </c>
      <c r="O191" s="201">
        <f>Arbejdsark!E578</f>
        <v>0</v>
      </c>
      <c r="P191" s="295"/>
      <c r="Q191" s="154">
        <f>Arbejdsark!R578</f>
        <v>0</v>
      </c>
      <c r="R191" s="295"/>
      <c r="S191" s="205" t="e">
        <f>Arbejdsark!#REF!</f>
        <v>#REF!</v>
      </c>
    </row>
    <row r="192" spans="1:20" outlineLevel="1" x14ac:dyDescent="0.45">
      <c r="L192" s="154" t="str">
        <f>Arbejdsark!A579</f>
        <v>Kortlægning af risici</v>
      </c>
      <c r="M192" s="154" t="str">
        <f>Arbejdsark!C579</f>
        <v>Oversvømmelse</v>
      </c>
      <c r="N192" s="154" t="str">
        <f>Arbejdsark!D579</f>
        <v>SITE1.1 + (PRO1.3)</v>
      </c>
      <c r="O192" s="201">
        <f>Arbejdsark!E579</f>
        <v>3.3000000000000002E-2</v>
      </c>
      <c r="P192" s="295"/>
      <c r="Q192" s="154">
        <f>Arbejdsark!R579</f>
        <v>0</v>
      </c>
      <c r="R192" s="295"/>
      <c r="S192" s="205" t="e">
        <f>Arbejdsark!#REF!</f>
        <v>#REF!</v>
      </c>
    </row>
    <row r="193" spans="12:19" outlineLevel="1" x14ac:dyDescent="0.45">
      <c r="L193" s="154">
        <f>Arbejdsark!A584</f>
        <v>0</v>
      </c>
      <c r="M193" s="154" t="str">
        <f>Arbejdsark!C584</f>
        <v>Jordbund - Erosionsrisiko og forurening</v>
      </c>
      <c r="N193" s="154" t="str">
        <f>Arbejdsark!D584</f>
        <v>SITE1.1 + (ENV2.3)</v>
      </c>
      <c r="O193" s="201">
        <f>Arbejdsark!E584</f>
        <v>3.3000000000000002E-2</v>
      </c>
      <c r="P193" s="295"/>
      <c r="Q193" s="154">
        <f>Arbejdsark!R584</f>
        <v>0</v>
      </c>
      <c r="R193" s="295"/>
      <c r="S193" s="205" t="e">
        <f>Arbejdsark!#REF!</f>
        <v>#REF!</v>
      </c>
    </row>
    <row r="194" spans="12:19" outlineLevel="1" x14ac:dyDescent="0.45">
      <c r="L194" s="154">
        <f>Arbejdsark!A589</f>
        <v>0</v>
      </c>
      <c r="M194" s="154" t="str">
        <f>Arbejdsark!C589</f>
        <v>Udeluftskvalitet</v>
      </c>
      <c r="N194" s="154" t="str">
        <f>Arbejdsark!D589</f>
        <v>SITE1.1</v>
      </c>
      <c r="O194" s="201">
        <f>Arbejdsark!E589</f>
        <v>3.3000000000000002E-2</v>
      </c>
      <c r="P194" s="295"/>
      <c r="Q194" s="154">
        <f>Arbejdsark!R589</f>
        <v>0</v>
      </c>
      <c r="R194" s="295"/>
      <c r="S194" s="205" t="e">
        <f>Arbejdsark!#REF!</f>
        <v>#REF!</v>
      </c>
    </row>
    <row r="195" spans="12:19" outlineLevel="1" x14ac:dyDescent="0.45">
      <c r="L195" s="154">
        <f>Arbejdsark!A594</f>
        <v>0</v>
      </c>
      <c r="M195" s="154" t="str">
        <f>Arbejdsark!C594</f>
        <v>Støj</v>
      </c>
      <c r="N195" s="154" t="str">
        <f>Arbejdsark!D594</f>
        <v>SITE1.1</v>
      </c>
      <c r="O195" s="201">
        <f>Arbejdsark!E594</f>
        <v>3.3000000000000002E-2</v>
      </c>
      <c r="P195" s="295"/>
      <c r="Q195" s="154">
        <f>Arbejdsark!R594</f>
        <v>0</v>
      </c>
      <c r="R195" s="295"/>
      <c r="S195" s="205" t="e">
        <f>Arbejdsark!#REF!</f>
        <v>#REF!</v>
      </c>
    </row>
    <row r="196" spans="12:19" outlineLevel="1" x14ac:dyDescent="0.45">
      <c r="L196" s="154">
        <f>Arbejdsark!A599</f>
        <v>0</v>
      </c>
      <c r="M196" s="154" t="str">
        <f>Arbejdsark!C599</f>
        <v>Radon</v>
      </c>
      <c r="N196" s="154" t="str">
        <f>Arbejdsark!D599</f>
        <v>SITE1.1</v>
      </c>
      <c r="O196" s="201">
        <f>Arbejdsark!E599</f>
        <v>2.1999999999999999E-2</v>
      </c>
      <c r="P196" s="295"/>
      <c r="Q196" s="154">
        <f>Arbejdsark!R599</f>
        <v>0</v>
      </c>
      <c r="R196" s="295"/>
      <c r="S196" s="205" t="e">
        <f>Arbejdsark!#REF!</f>
        <v>#REF!</v>
      </c>
    </row>
    <row r="197" spans="12:19" outlineLevel="1" x14ac:dyDescent="0.45">
      <c r="L197" s="154">
        <f>Arbejdsark!A606</f>
        <v>0</v>
      </c>
      <c r="M197" s="154" t="str">
        <f>Arbejdsark!C606</f>
        <v>Elektromagnetisk stråling</v>
      </c>
      <c r="N197" s="154" t="str">
        <f>Arbejdsark!D606</f>
        <v>SITE1.1</v>
      </c>
      <c r="O197" s="201">
        <f>Arbejdsark!E606</f>
        <v>2.1999999999999999E-2</v>
      </c>
      <c r="P197" s="295"/>
      <c r="Q197" s="154">
        <f>Arbejdsark!R606</f>
        <v>0</v>
      </c>
      <c r="R197" s="295"/>
      <c r="S197" s="205" t="e">
        <f>Arbejdsark!#REF!</f>
        <v>#REF!</v>
      </c>
    </row>
    <row r="198" spans="12:19" outlineLevel="1" x14ac:dyDescent="0.45">
      <c r="L198" s="154">
        <f>Arbejdsark!A611</f>
        <v>0</v>
      </c>
      <c r="M198" s="154">
        <f>Arbejdsark!C611</f>
        <v>0</v>
      </c>
      <c r="N198" s="154">
        <f>Arbejdsark!D611</f>
        <v>0</v>
      </c>
      <c r="O198" s="201">
        <f>Arbejdsark!E611</f>
        <v>0</v>
      </c>
      <c r="P198" s="295"/>
      <c r="Q198" s="154">
        <f>Arbejdsark!R611</f>
        <v>0</v>
      </c>
      <c r="R198" s="295"/>
      <c r="S198" s="205" t="e">
        <f>Arbejdsark!#REF!</f>
        <v>#REF!</v>
      </c>
    </row>
    <row r="199" spans="12:19" outlineLevel="1" x14ac:dyDescent="0.45">
      <c r="L199" s="154" t="str">
        <f>Arbejdsark!A612</f>
        <v>Image og tilstand</v>
      </c>
      <c r="M199" s="154" t="str">
        <f>Arbejdsark!C612</f>
        <v>Kortlægning</v>
      </c>
      <c r="N199" s="154" t="str">
        <f>Arbejdsark!D612</f>
        <v xml:space="preserve">SITE1.2
Vægtning: SITE1.2 50 % af pkt. 1 </v>
      </c>
      <c r="O199" s="201">
        <f>Arbejdsark!E612</f>
        <v>5.5500000000000001E-2</v>
      </c>
      <c r="P199" s="295"/>
      <c r="Q199" s="154">
        <f>Arbejdsark!R612</f>
        <v>0</v>
      </c>
      <c r="R199" s="295"/>
      <c r="S199" s="205" t="e">
        <f>Arbejdsark!#REF!</f>
        <v>#REF!</v>
      </c>
    </row>
    <row r="200" spans="12:19" outlineLevel="1" x14ac:dyDescent="0.45">
      <c r="L200" s="154">
        <f>Arbejdsark!A621</f>
        <v>0</v>
      </c>
      <c r="M200" s="154" t="str">
        <f>Arbejdsark!C621</f>
        <v>Stillingtagen til kriminalprævention</v>
      </c>
      <c r="N200" s="154" t="str">
        <f>Arbejdsark!D621</f>
        <v xml:space="preserve">SITE1.2
Vægtning: SITE1.2 50 % af pkt. 1 </v>
      </c>
      <c r="O200" s="201">
        <f>Arbejdsark!E621</f>
        <v>5.5500000000000001E-2</v>
      </c>
      <c r="P200" s="295"/>
      <c r="Q200" s="154">
        <f>Arbejdsark!R621</f>
        <v>0</v>
      </c>
      <c r="R200" s="295"/>
      <c r="S200" s="205" t="e">
        <f>Arbejdsark!#REF!</f>
        <v>#REF!</v>
      </c>
    </row>
    <row r="201" spans="12:19" outlineLevel="1" x14ac:dyDescent="0.45">
      <c r="L201" s="154">
        <f>Arbejdsark!A616</f>
        <v>0</v>
      </c>
      <c r="M201" s="154" t="str">
        <f>Arbejdsark!C616</f>
        <v>Indflydelse/bidrag til forbedring</v>
      </c>
      <c r="N201" s="154" t="str">
        <f>Arbejdsark!D616</f>
        <v>SITE1.2
Vægtning: SITE1.2 50 % af pkt. 2</v>
      </c>
      <c r="O201" s="201">
        <f>Arbejdsark!E616</f>
        <v>5.5500000000000001E-2</v>
      </c>
      <c r="P201" s="295"/>
      <c r="Q201" s="154">
        <f>Arbejdsark!R616</f>
        <v>0</v>
      </c>
      <c r="R201" s="295"/>
      <c r="S201" s="205" t="e">
        <f>Arbejdsark!#REF!</f>
        <v>#REF!</v>
      </c>
    </row>
    <row r="202" spans="12:19" outlineLevel="1" x14ac:dyDescent="0.45">
      <c r="L202" s="154">
        <f>Arbejdsark!A627</f>
        <v>0</v>
      </c>
      <c r="M202" s="154" t="str">
        <f>Arbejdsark!C627</f>
        <v>Løsningskatalog med konkrete tiltag</v>
      </c>
      <c r="N202" s="154" t="str">
        <f>Arbejdsark!D627</f>
        <v>SITE1.2
Vægtning: SITE1.2 50 % af pkt. 2</v>
      </c>
      <c r="O202" s="201">
        <f>Arbejdsark!E627</f>
        <v>5.5500000000000001E-2</v>
      </c>
      <c r="P202" s="295"/>
      <c r="Q202" s="154">
        <f>Arbejdsark!R627</f>
        <v>0</v>
      </c>
      <c r="R202" s="295"/>
      <c r="S202" s="205" t="e">
        <f>Arbejdsark!#REF!</f>
        <v>#REF!</v>
      </c>
    </row>
    <row r="203" spans="12:19" outlineLevel="1" x14ac:dyDescent="0.45">
      <c r="L203" s="154">
        <f>Arbejdsark!A632</f>
        <v>0</v>
      </c>
      <c r="M203" s="154">
        <f>Arbejdsark!C632</f>
        <v>0</v>
      </c>
      <c r="N203" s="154">
        <f>Arbejdsark!D632</f>
        <v>0</v>
      </c>
      <c r="O203" s="201">
        <f>Arbejdsark!E632</f>
        <v>0</v>
      </c>
      <c r="P203" s="295"/>
      <c r="Q203" s="154">
        <f>Arbejdsark!R632</f>
        <v>0</v>
      </c>
      <c r="R203" s="295"/>
      <c r="S203" s="205" t="e">
        <f>Arbejdsark!#REF!</f>
        <v>#REF!</v>
      </c>
    </row>
    <row r="204" spans="12:19" outlineLevel="1" x14ac:dyDescent="0.45">
      <c r="L204" s="154" t="str">
        <f>Arbejdsark!A633</f>
        <v>Trafikforhold</v>
      </c>
      <c r="M204" s="154" t="str">
        <f>Arbejdsark!C633</f>
        <v>Adgangsveje - Bil, cykel og offentlig transport</v>
      </c>
      <c r="N204" s="154" t="str">
        <f>Arbejdsark!D633</f>
        <v xml:space="preserve">SITE1.3 + (SOC2.3 + SOC1.7)
Vægtning: SITE1.3  pkt. 1 + 2 + 3 </v>
      </c>
      <c r="O204" s="201">
        <f>Arbejdsark!E633</f>
        <v>0.21700000000000003</v>
      </c>
      <c r="P204" s="295"/>
      <c r="Q204" s="154">
        <f>Arbejdsark!R633</f>
        <v>0</v>
      </c>
      <c r="R204" s="295"/>
      <c r="S204" s="205" t="e">
        <f>Arbejdsark!#REF!</f>
        <v>#REF!</v>
      </c>
    </row>
    <row r="205" spans="12:19" outlineLevel="1" x14ac:dyDescent="0.45">
      <c r="L205" s="154">
        <f>Arbejdsark!A638</f>
        <v>0</v>
      </c>
      <c r="M205" s="154" t="str">
        <f>Arbejdsark!C638</f>
        <v>Parkering - Biler, Handicap og cykler</v>
      </c>
      <c r="N205" s="154" t="str">
        <f>Arbejdsark!D638</f>
        <v>SITE1.3 + (SOC2.3 + SOC1.7)
Vægtning: SITE1.3  pkt. 5</v>
      </c>
      <c r="O205" s="201">
        <f>Arbejdsark!E638</f>
        <v>0.05</v>
      </c>
      <c r="P205" s="295"/>
      <c r="Q205" s="154">
        <f>Arbejdsark!R638</f>
        <v>0</v>
      </c>
      <c r="R205" s="295"/>
      <c r="S205" s="205" t="e">
        <f>Arbejdsark!#REF!</f>
        <v>#REF!</v>
      </c>
    </row>
    <row r="206" spans="12:19" outlineLevel="1" x14ac:dyDescent="0.45">
      <c r="L206" s="154">
        <f>Arbejdsark!A643</f>
        <v>0</v>
      </c>
      <c r="M206" s="154" t="str">
        <f>Arbejdsark!C643</f>
        <v>Faciliteter (ladestandere, bilvask, "kiss'n'ride")</v>
      </c>
      <c r="N206" s="154" t="str">
        <f>Arbejdsark!D643</f>
        <v>SITE1.3
Vægtning: SITE1.3  pkt. 6</v>
      </c>
      <c r="O206" s="201">
        <f>Arbejdsark!E643</f>
        <v>6.7000000000000004E-2</v>
      </c>
      <c r="P206" s="295"/>
      <c r="Q206" s="154">
        <f>Arbejdsark!R643</f>
        <v>0</v>
      </c>
      <c r="R206" s="295"/>
      <c r="S206" s="205" t="e">
        <f>Arbejdsark!#REF!</f>
        <v>#REF!</v>
      </c>
    </row>
    <row r="207" spans="12:19" outlineLevel="1" x14ac:dyDescent="0.45">
      <c r="L207" s="154">
        <f>Arbejdsark!A647</f>
        <v>0</v>
      </c>
      <c r="M207" s="154">
        <f>Arbejdsark!C647</f>
        <v>0</v>
      </c>
      <c r="N207" s="154">
        <f>Arbejdsark!D647</f>
        <v>0</v>
      </c>
      <c r="O207" s="201">
        <f>Arbejdsark!E647</f>
        <v>0</v>
      </c>
      <c r="P207" s="295"/>
      <c r="Q207" s="154">
        <f>Arbejdsark!R647</f>
        <v>0</v>
      </c>
      <c r="R207" s="295"/>
      <c r="S207" s="205" t="e">
        <f>Arbejdsark!#REF!</f>
        <v>#REF!</v>
      </c>
    </row>
    <row r="208" spans="12:19" outlineLevel="1" x14ac:dyDescent="0.45">
      <c r="L208" s="154" t="str">
        <f>Arbejdsark!A648</f>
        <v>Servicefunktioner</v>
      </c>
      <c r="M208" s="154" t="str">
        <f>Arbejdsark!C648</f>
        <v>Kortlægning i området</v>
      </c>
      <c r="N208" s="154" t="str">
        <f>Arbejdsark!D648</f>
        <v>SITE1.4</v>
      </c>
      <c r="O208" s="201">
        <f>Arbejdsark!E648</f>
        <v>0.222</v>
      </c>
      <c r="P208" s="295"/>
      <c r="Q208" s="154">
        <f>Arbejdsark!R648</f>
        <v>0</v>
      </c>
      <c r="R208" s="295"/>
      <c r="S208" s="205" t="e">
        <f>Arbejdsark!#REF!</f>
        <v>#REF!</v>
      </c>
    </row>
    <row r="209" spans="12:19" outlineLevel="1" x14ac:dyDescent="0.45">
      <c r="L209" s="99"/>
      <c r="M209" s="99"/>
      <c r="N209" s="99"/>
      <c r="O209" s="99"/>
      <c r="P209" s="295"/>
      <c r="Q209" s="99"/>
      <c r="R209" s="295"/>
      <c r="S209" s="295"/>
    </row>
    <row r="210" spans="12:19" outlineLevel="1" x14ac:dyDescent="0.45">
      <c r="P210" s="160"/>
    </row>
    <row r="211" spans="12:19" outlineLevel="1" x14ac:dyDescent="0.45">
      <c r="P211" s="295"/>
    </row>
    <row r="212" spans="12:19" outlineLevel="1" x14ac:dyDescent="0.45">
      <c r="P212" s="295"/>
    </row>
    <row r="213" spans="12:19" outlineLevel="1" x14ac:dyDescent="0.45">
      <c r="P213" s="295"/>
    </row>
    <row r="214" spans="12:19" outlineLevel="1" x14ac:dyDescent="0.45">
      <c r="P214" s="295"/>
    </row>
    <row r="215" spans="12:19" outlineLevel="1" x14ac:dyDescent="0.45">
      <c r="P215" s="295"/>
    </row>
    <row r="216" spans="12:19" outlineLevel="1" x14ac:dyDescent="0.45">
      <c r="P216" s="295"/>
    </row>
    <row r="217" spans="12:19" outlineLevel="1" x14ac:dyDescent="0.45">
      <c r="P217" s="295"/>
    </row>
    <row r="218" spans="12:19" outlineLevel="1" x14ac:dyDescent="0.45">
      <c r="P218" s="295"/>
    </row>
    <row r="219" spans="12:19" outlineLevel="1" x14ac:dyDescent="0.45">
      <c r="P219" s="295"/>
    </row>
    <row r="220" spans="12:19" outlineLevel="1" x14ac:dyDescent="0.45">
      <c r="P220" s="295"/>
    </row>
    <row r="221" spans="12:19" outlineLevel="1" x14ac:dyDescent="0.45">
      <c r="P221" s="295"/>
    </row>
    <row r="222" spans="12:19" outlineLevel="1" x14ac:dyDescent="0.45">
      <c r="P222" s="295"/>
    </row>
    <row r="223" spans="12:19" outlineLevel="1" x14ac:dyDescent="0.45">
      <c r="P223" s="295"/>
    </row>
    <row r="224" spans="12:19" outlineLevel="1" x14ac:dyDescent="0.45">
      <c r="P224" s="295"/>
    </row>
    <row r="225" spans="1:35" outlineLevel="1" x14ac:dyDescent="0.45">
      <c r="P225" s="295"/>
    </row>
    <row r="226" spans="1:35" x14ac:dyDescent="0.45">
      <c r="A226" s="74"/>
      <c r="B226" s="74"/>
      <c r="C226" s="74"/>
      <c r="D226" s="74"/>
      <c r="E226" s="74"/>
      <c r="F226" s="74"/>
      <c r="G226" s="74"/>
      <c r="H226" s="74"/>
      <c r="I226" s="74"/>
      <c r="J226" s="74"/>
      <c r="K226" s="295"/>
      <c r="L226" s="295"/>
      <c r="M226" s="295"/>
      <c r="N226" s="295"/>
      <c r="O226" s="295"/>
      <c r="P226" s="295"/>
      <c r="Q226" s="295"/>
      <c r="R226" s="295"/>
      <c r="S226" s="295"/>
      <c r="T226" s="295"/>
      <c r="U226" s="295"/>
      <c r="V226" s="295"/>
      <c r="W226" s="295"/>
      <c r="X226" s="295"/>
      <c r="Y226" s="295"/>
      <c r="Z226" s="295"/>
      <c r="AA226" s="295"/>
      <c r="AB226" s="295"/>
      <c r="AC226" s="295"/>
      <c r="AD226" s="295"/>
      <c r="AE226" s="295"/>
      <c r="AF226" s="295"/>
      <c r="AG226" s="295"/>
      <c r="AH226" s="295"/>
      <c r="AI226" s="295"/>
    </row>
    <row r="228" spans="1:35" s="70" customFormat="1" ht="16.149999999999999" thickBot="1" x14ac:dyDescent="0.55000000000000004">
      <c r="A228" s="75" t="s">
        <v>206</v>
      </c>
      <c r="B228" s="73"/>
      <c r="C228" s="73"/>
      <c r="D228" s="73"/>
      <c r="E228" s="73"/>
      <c r="F228" s="73"/>
      <c r="G228" s="73"/>
      <c r="H228" s="73"/>
      <c r="I228" s="73"/>
      <c r="J228" s="73"/>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row>
    <row r="229" spans="1:35" s="70" customFormat="1" outlineLevel="1" x14ac:dyDescent="0.45">
      <c r="A229" s="74"/>
      <c r="B229" s="74"/>
      <c r="C229" s="74"/>
      <c r="D229" s="74"/>
      <c r="E229" s="74"/>
      <c r="F229" s="74"/>
      <c r="G229" s="74"/>
      <c r="H229" s="74"/>
      <c r="I229" s="74"/>
      <c r="J229" s="74"/>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row>
    <row r="230" spans="1:35" s="70" customFormat="1" outlineLevel="1" x14ac:dyDescent="0.45">
      <c r="A230" s="798" t="s">
        <v>207</v>
      </c>
      <c r="B230" s="798"/>
      <c r="C230" s="74"/>
      <c r="D230" s="74"/>
      <c r="E230" s="74"/>
      <c r="F230" s="74"/>
      <c r="G230" s="74"/>
      <c r="H230" s="74"/>
      <c r="I230" s="74"/>
      <c r="J230" s="74"/>
      <c r="K230" s="295"/>
      <c r="L230" s="295"/>
      <c r="M230" s="295"/>
      <c r="N230" s="295"/>
      <c r="O230" s="295"/>
      <c r="P230" s="295"/>
      <c r="Q230" s="295"/>
      <c r="R230" s="295"/>
      <c r="S230" s="295"/>
      <c r="T230" s="295"/>
      <c r="U230" s="295"/>
      <c r="V230" s="295"/>
      <c r="W230" s="295"/>
      <c r="X230" s="295"/>
      <c r="Y230" s="295"/>
      <c r="Z230" s="295"/>
      <c r="AA230" s="295"/>
      <c r="AB230" s="295"/>
      <c r="AC230" s="295"/>
      <c r="AD230" s="295"/>
      <c r="AE230" s="295"/>
      <c r="AF230" s="295"/>
      <c r="AG230" s="295"/>
      <c r="AH230" s="295"/>
      <c r="AI230" s="295"/>
    </row>
    <row r="231" spans="1:35" s="70" customFormat="1" outlineLevel="1" x14ac:dyDescent="0.45">
      <c r="A231" s="798"/>
      <c r="B231" s="798"/>
      <c r="C231" s="74"/>
      <c r="D231" s="74"/>
      <c r="E231" s="74"/>
      <c r="F231" s="74"/>
      <c r="G231" s="74"/>
      <c r="H231" s="74"/>
      <c r="I231" s="74"/>
      <c r="J231" s="74"/>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row>
    <row r="232" spans="1:35" s="70" customFormat="1" outlineLevel="1" x14ac:dyDescent="0.45">
      <c r="A232" s="798"/>
      <c r="B232" s="798"/>
      <c r="C232" s="74"/>
      <c r="D232" s="74"/>
      <c r="E232" s="74"/>
      <c r="F232" s="74"/>
      <c r="G232" s="74"/>
      <c r="H232" s="74"/>
      <c r="I232" s="74"/>
      <c r="J232" s="74"/>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row>
    <row r="233" spans="1:35" s="70" customFormat="1" outlineLevel="1" x14ac:dyDescent="0.45">
      <c r="A233" s="798"/>
      <c r="B233" s="798"/>
      <c r="C233" s="74"/>
      <c r="D233" s="74"/>
      <c r="E233" s="74"/>
      <c r="F233" s="74"/>
      <c r="G233" s="74"/>
      <c r="H233" s="74"/>
      <c r="I233" s="74"/>
      <c r="J233" s="74"/>
      <c r="K233" s="295"/>
      <c r="L233" s="295"/>
      <c r="M233" s="295"/>
      <c r="N233" s="295"/>
      <c r="O233" s="295"/>
      <c r="P233" s="295"/>
      <c r="Q233" s="295"/>
      <c r="R233" s="295"/>
      <c r="S233" s="295"/>
      <c r="T233" s="295"/>
      <c r="U233" s="295"/>
      <c r="V233" s="295"/>
      <c r="W233" s="295"/>
      <c r="X233" s="295"/>
      <c r="Y233" s="295"/>
      <c r="Z233" s="295"/>
      <c r="AA233" s="295"/>
      <c r="AB233" s="295"/>
      <c r="AC233" s="295"/>
      <c r="AD233" s="295"/>
      <c r="AE233" s="295"/>
      <c r="AF233" s="295"/>
      <c r="AG233" s="295"/>
      <c r="AH233" s="295"/>
      <c r="AI233" s="295"/>
    </row>
    <row r="234" spans="1:35" s="70" customFormat="1" outlineLevel="1" x14ac:dyDescent="0.45">
      <c r="A234" s="798"/>
      <c r="B234" s="798"/>
      <c r="C234" s="74"/>
      <c r="D234" s="74"/>
      <c r="E234" s="74"/>
      <c r="F234" s="74"/>
      <c r="G234" s="74"/>
      <c r="H234" s="74"/>
      <c r="I234" s="74"/>
      <c r="J234" s="74"/>
      <c r="K234" s="295"/>
      <c r="L234" s="295"/>
      <c r="M234" s="295"/>
      <c r="N234" s="295"/>
      <c r="O234" s="295"/>
      <c r="P234" s="295"/>
      <c r="Q234" s="295"/>
      <c r="R234" s="295"/>
      <c r="S234" s="295"/>
      <c r="T234" s="295"/>
      <c r="U234" s="295"/>
      <c r="V234" s="295"/>
      <c r="W234" s="295"/>
      <c r="X234" s="295"/>
      <c r="Y234" s="295"/>
      <c r="Z234" s="295"/>
      <c r="AA234" s="295"/>
      <c r="AB234" s="295"/>
      <c r="AC234" s="295"/>
      <c r="AD234" s="295"/>
      <c r="AE234" s="295"/>
      <c r="AF234" s="295"/>
      <c r="AG234" s="295"/>
      <c r="AH234" s="295"/>
      <c r="AI234" s="295"/>
    </row>
    <row r="235" spans="1:35" s="70" customFormat="1" outlineLevel="1" x14ac:dyDescent="0.45">
      <c r="A235" s="798"/>
      <c r="B235" s="798"/>
      <c r="C235" s="74"/>
      <c r="D235" s="74"/>
      <c r="E235" s="74"/>
      <c r="F235" s="74"/>
      <c r="G235" s="74"/>
      <c r="H235" s="74"/>
      <c r="I235" s="74"/>
      <c r="J235" s="74"/>
      <c r="K235" s="295"/>
      <c r="L235" s="295"/>
      <c r="M235" s="295"/>
      <c r="N235" s="295"/>
      <c r="O235" s="295"/>
      <c r="P235" s="295"/>
      <c r="Q235" s="295"/>
      <c r="R235" s="295"/>
      <c r="S235" s="295"/>
      <c r="T235" s="295"/>
      <c r="U235" s="295"/>
      <c r="V235" s="295"/>
      <c r="W235" s="295"/>
      <c r="X235" s="295"/>
      <c r="Y235" s="295"/>
      <c r="Z235" s="295"/>
      <c r="AA235" s="295"/>
      <c r="AB235" s="295"/>
      <c r="AC235" s="295"/>
      <c r="AD235" s="295"/>
      <c r="AE235" s="295"/>
      <c r="AF235" s="295"/>
      <c r="AG235" s="295"/>
      <c r="AH235" s="295"/>
      <c r="AI235" s="295"/>
    </row>
    <row r="236" spans="1:35" s="70" customFormat="1" outlineLevel="1" x14ac:dyDescent="0.45">
      <c r="A236" s="74"/>
      <c r="B236" s="74"/>
      <c r="C236" s="74"/>
      <c r="D236" s="74"/>
      <c r="E236" s="74"/>
      <c r="F236" s="74"/>
      <c r="G236" s="74"/>
      <c r="H236" s="74"/>
      <c r="I236" s="74"/>
      <c r="J236" s="74"/>
      <c r="K236" s="295"/>
      <c r="L236" s="295"/>
      <c r="M236" s="295"/>
      <c r="N236" s="295"/>
      <c r="O236" s="295"/>
      <c r="P236" s="295"/>
      <c r="Q236" s="295"/>
      <c r="R236" s="295"/>
      <c r="S236" s="295"/>
      <c r="T236" s="295"/>
      <c r="U236" s="295"/>
      <c r="V236" s="295"/>
      <c r="W236" s="295"/>
      <c r="X236" s="295"/>
      <c r="Y236" s="295"/>
      <c r="Z236" s="295"/>
      <c r="AA236" s="295"/>
      <c r="AB236" s="295"/>
      <c r="AC236" s="295"/>
      <c r="AD236" s="295"/>
      <c r="AE236" s="295"/>
      <c r="AF236" s="295"/>
      <c r="AG236" s="295"/>
      <c r="AH236" s="295"/>
      <c r="AI236" s="295"/>
    </row>
    <row r="237" spans="1:35" s="70" customFormat="1" outlineLevel="1" x14ac:dyDescent="0.45">
      <c r="A237" s="74"/>
      <c r="B237" s="74"/>
      <c r="C237" s="74"/>
      <c r="D237" s="74"/>
      <c r="E237" s="74"/>
      <c r="F237" s="74"/>
      <c r="G237" s="74"/>
      <c r="H237" s="74"/>
      <c r="I237" s="74"/>
      <c r="J237" s="74"/>
      <c r="K237" s="295"/>
      <c r="L237" s="295"/>
      <c r="M237" s="295"/>
      <c r="N237" s="295"/>
      <c r="O237" s="295"/>
      <c r="P237" s="295"/>
      <c r="Q237" s="295"/>
      <c r="R237" s="295"/>
      <c r="S237" s="295"/>
      <c r="T237" s="295"/>
      <c r="U237" s="295"/>
      <c r="V237" s="295"/>
      <c r="W237" s="295"/>
      <c r="X237" s="295"/>
      <c r="Y237" s="295"/>
      <c r="Z237" s="295"/>
      <c r="AA237" s="295"/>
      <c r="AB237" s="295"/>
      <c r="AC237" s="295"/>
      <c r="AD237" s="295"/>
      <c r="AE237" s="295"/>
      <c r="AF237" s="295"/>
      <c r="AG237" s="295"/>
      <c r="AH237" s="295"/>
      <c r="AI237" s="295"/>
    </row>
    <row r="238" spans="1:35" s="70" customFormat="1" outlineLevel="1" x14ac:dyDescent="0.45">
      <c r="A238" s="74"/>
      <c r="B238" s="74"/>
      <c r="C238" s="74"/>
      <c r="D238" s="74"/>
      <c r="E238" s="74"/>
      <c r="F238" s="74"/>
      <c r="G238" s="74"/>
      <c r="H238" s="74"/>
      <c r="I238" s="74"/>
      <c r="J238" s="74"/>
      <c r="K238" s="295"/>
      <c r="L238" s="295"/>
      <c r="M238" s="295"/>
      <c r="N238" s="295"/>
      <c r="O238" s="295"/>
      <c r="P238" s="295"/>
      <c r="Q238" s="295"/>
      <c r="R238" s="295"/>
      <c r="S238" s="295"/>
      <c r="T238" s="295"/>
      <c r="U238" s="295"/>
      <c r="V238" s="295"/>
      <c r="W238" s="295"/>
      <c r="X238" s="295"/>
      <c r="Y238" s="295"/>
      <c r="Z238" s="295"/>
      <c r="AA238" s="295"/>
      <c r="AB238" s="295"/>
      <c r="AC238" s="295"/>
      <c r="AD238" s="295"/>
      <c r="AE238" s="295"/>
      <c r="AF238" s="295"/>
      <c r="AG238" s="295"/>
      <c r="AH238" s="295"/>
      <c r="AI238" s="295"/>
    </row>
    <row r="239" spans="1:35" s="70" customFormat="1" outlineLevel="1" x14ac:dyDescent="0.45">
      <c r="A239" s="74"/>
      <c r="B239" s="74"/>
      <c r="C239" s="74"/>
      <c r="D239" s="74"/>
      <c r="E239" s="74"/>
      <c r="F239" s="74"/>
      <c r="G239" s="74"/>
      <c r="H239" s="74"/>
      <c r="I239" s="74"/>
      <c r="J239" s="74"/>
      <c r="K239" s="295"/>
      <c r="L239" s="295"/>
      <c r="M239" s="295"/>
      <c r="N239" s="295"/>
      <c r="O239" s="295"/>
      <c r="P239" s="295"/>
      <c r="Q239" s="295"/>
      <c r="R239" s="295"/>
      <c r="S239" s="295"/>
      <c r="T239" s="295"/>
      <c r="U239" s="295"/>
      <c r="V239" s="295"/>
      <c r="W239" s="295"/>
      <c r="X239" s="295"/>
      <c r="Y239" s="295"/>
      <c r="Z239" s="295"/>
      <c r="AA239" s="295"/>
      <c r="AB239" s="295"/>
      <c r="AC239" s="295"/>
      <c r="AD239" s="295"/>
      <c r="AE239" s="295"/>
      <c r="AF239" s="295"/>
      <c r="AG239" s="295"/>
      <c r="AH239" s="295"/>
      <c r="AI239" s="295"/>
    </row>
    <row r="240" spans="1:35" s="70" customFormat="1" outlineLevel="1" x14ac:dyDescent="0.45">
      <c r="A240" s="74"/>
      <c r="B240" s="74"/>
      <c r="C240" s="74"/>
      <c r="D240" s="74"/>
      <c r="E240" s="74"/>
      <c r="F240" s="74"/>
      <c r="G240" s="74"/>
      <c r="H240" s="74"/>
      <c r="I240" s="74"/>
      <c r="J240" s="74"/>
      <c r="K240" s="295"/>
      <c r="L240" s="295"/>
      <c r="M240" s="295"/>
      <c r="N240" s="295"/>
      <c r="O240" s="295"/>
      <c r="P240" s="295"/>
      <c r="Q240" s="295"/>
      <c r="R240" s="295"/>
      <c r="S240" s="295"/>
      <c r="T240" s="295"/>
      <c r="U240" s="295"/>
      <c r="V240" s="295"/>
      <c r="W240" s="295"/>
      <c r="X240" s="295"/>
      <c r="Y240" s="295"/>
      <c r="Z240" s="295"/>
      <c r="AA240" s="295"/>
      <c r="AB240" s="295"/>
      <c r="AC240" s="295"/>
      <c r="AD240" s="295"/>
      <c r="AE240" s="295"/>
      <c r="AF240" s="295"/>
      <c r="AG240" s="295"/>
      <c r="AH240" s="295"/>
      <c r="AI240" s="295"/>
    </row>
    <row r="241" spans="1:35" s="70" customFormat="1" outlineLevel="1" x14ac:dyDescent="0.45">
      <c r="A241" s="74"/>
      <c r="B241" s="74"/>
      <c r="C241" s="74"/>
      <c r="D241" s="74"/>
      <c r="E241" s="74"/>
      <c r="F241" s="74"/>
      <c r="G241" s="74"/>
      <c r="H241" s="74"/>
      <c r="I241" s="74"/>
      <c r="J241" s="74"/>
      <c r="K241" s="295"/>
      <c r="L241" s="295"/>
      <c r="M241" s="295"/>
      <c r="N241" s="295"/>
      <c r="O241" s="295"/>
      <c r="P241" s="295"/>
      <c r="Q241" s="295"/>
      <c r="R241" s="295"/>
      <c r="S241" s="295"/>
      <c r="T241" s="295"/>
      <c r="U241" s="295"/>
      <c r="V241" s="295"/>
      <c r="W241" s="295"/>
      <c r="X241" s="295"/>
      <c r="Y241" s="295"/>
      <c r="Z241" s="295"/>
      <c r="AA241" s="295"/>
      <c r="AB241" s="295"/>
      <c r="AC241" s="295"/>
      <c r="AD241" s="295"/>
      <c r="AE241" s="295"/>
      <c r="AF241" s="295"/>
      <c r="AG241" s="295"/>
      <c r="AH241" s="295"/>
      <c r="AI241" s="295"/>
    </row>
    <row r="242" spans="1:35" s="70" customFormat="1" outlineLevel="1" x14ac:dyDescent="0.45">
      <c r="K242" s="295"/>
      <c r="L242" s="295"/>
      <c r="M242" s="295"/>
      <c r="N242" s="295"/>
      <c r="O242" s="295"/>
      <c r="P242" s="295"/>
      <c r="Q242" s="295"/>
      <c r="R242" s="295"/>
      <c r="S242" s="295"/>
      <c r="T242" s="295"/>
      <c r="U242" s="295"/>
      <c r="V242" s="295"/>
      <c r="W242" s="295"/>
      <c r="X242" s="295"/>
      <c r="Y242" s="295"/>
      <c r="Z242" s="295"/>
      <c r="AA242" s="295"/>
      <c r="AB242" s="295"/>
      <c r="AC242" s="295"/>
      <c r="AD242" s="295"/>
      <c r="AE242" s="295"/>
      <c r="AF242" s="295"/>
      <c r="AG242" s="295"/>
      <c r="AH242" s="295"/>
      <c r="AI242" s="295"/>
    </row>
    <row r="243" spans="1:35" s="70" customFormat="1" outlineLevel="1" x14ac:dyDescent="0.45">
      <c r="K243" s="295"/>
      <c r="L243" s="295"/>
      <c r="M243" s="295"/>
      <c r="N243" s="295"/>
      <c r="O243" s="295"/>
      <c r="P243" s="295"/>
      <c r="Q243" s="295"/>
      <c r="R243" s="295"/>
      <c r="S243" s="295"/>
      <c r="T243" s="295"/>
      <c r="U243" s="295"/>
      <c r="V243" s="295"/>
      <c r="W243" s="295"/>
      <c r="X243" s="295"/>
      <c r="Y243" s="295"/>
      <c r="Z243" s="295"/>
      <c r="AA243" s="295"/>
      <c r="AB243" s="295"/>
      <c r="AC243" s="295"/>
      <c r="AD243" s="295"/>
      <c r="AE243" s="295"/>
      <c r="AF243" s="295"/>
      <c r="AG243" s="295"/>
      <c r="AH243" s="295"/>
      <c r="AI243" s="295"/>
    </row>
    <row r="244" spans="1:35" s="70" customFormat="1" outlineLevel="1" x14ac:dyDescent="0.45">
      <c r="K244" s="295"/>
      <c r="L244" s="295"/>
      <c r="M244" s="295"/>
      <c r="N244" s="295"/>
      <c r="O244" s="295"/>
      <c r="P244" s="295"/>
      <c r="Q244" s="295"/>
      <c r="R244" s="295"/>
      <c r="S244" s="295"/>
      <c r="T244" s="295"/>
      <c r="U244" s="295"/>
      <c r="V244" s="295"/>
      <c r="W244" s="295"/>
      <c r="X244" s="295"/>
      <c r="Y244" s="295"/>
      <c r="Z244" s="295"/>
      <c r="AA244" s="295"/>
      <c r="AB244" s="295"/>
      <c r="AC244" s="295"/>
      <c r="AD244" s="295"/>
      <c r="AE244" s="295"/>
      <c r="AF244" s="295"/>
      <c r="AG244" s="295"/>
      <c r="AH244" s="295"/>
      <c r="AI244" s="295"/>
    </row>
    <row r="245" spans="1:35" s="70" customFormat="1" outlineLevel="1" x14ac:dyDescent="0.45">
      <c r="K245" s="295"/>
      <c r="L245" s="295"/>
      <c r="M245" s="295"/>
      <c r="N245" s="295"/>
      <c r="O245" s="295"/>
      <c r="P245" s="295"/>
      <c r="Q245" s="295"/>
      <c r="R245" s="295"/>
      <c r="S245" s="295"/>
      <c r="T245" s="295"/>
      <c r="U245" s="295"/>
      <c r="V245" s="295"/>
      <c r="W245" s="295"/>
      <c r="X245" s="295"/>
      <c r="Y245" s="295"/>
      <c r="Z245" s="295"/>
      <c r="AA245" s="295"/>
      <c r="AB245" s="295"/>
      <c r="AC245" s="295"/>
      <c r="AD245" s="295"/>
      <c r="AE245" s="295"/>
      <c r="AF245" s="295"/>
      <c r="AG245" s="295"/>
      <c r="AH245" s="295"/>
      <c r="AI245" s="295"/>
    </row>
    <row r="246" spans="1:35" s="70" customFormat="1" outlineLevel="1" x14ac:dyDescent="0.45">
      <c r="K246" s="295"/>
      <c r="L246" s="295"/>
      <c r="M246" s="295"/>
      <c r="N246" s="295"/>
      <c r="O246" s="295"/>
      <c r="P246" s="295"/>
      <c r="Q246" s="295"/>
      <c r="R246" s="295"/>
      <c r="S246" s="295"/>
      <c r="T246" s="295"/>
      <c r="U246" s="295"/>
      <c r="V246" s="295"/>
      <c r="W246" s="295"/>
      <c r="X246" s="295"/>
      <c r="Y246" s="295"/>
      <c r="Z246" s="295"/>
      <c r="AA246" s="295"/>
      <c r="AB246" s="295"/>
      <c r="AC246" s="295"/>
      <c r="AD246" s="295"/>
      <c r="AE246" s="295"/>
      <c r="AF246" s="295"/>
      <c r="AG246" s="295"/>
      <c r="AH246" s="295"/>
      <c r="AI246" s="295"/>
    </row>
    <row r="247" spans="1:35" s="70" customFormat="1" outlineLevel="1" x14ac:dyDescent="0.4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row>
    <row r="248" spans="1:35" s="70" customFormat="1" outlineLevel="1" x14ac:dyDescent="0.45">
      <c r="K248" s="295"/>
      <c r="L248" s="295"/>
      <c r="M248" s="295"/>
      <c r="N248" s="295"/>
      <c r="O248" s="295"/>
      <c r="P248" s="295"/>
      <c r="Q248" s="295"/>
      <c r="R248" s="295"/>
      <c r="S248" s="295"/>
      <c r="T248" s="295"/>
      <c r="U248" s="295"/>
      <c r="V248" s="295"/>
      <c r="W248" s="295"/>
      <c r="X248" s="295"/>
      <c r="Y248" s="295"/>
      <c r="Z248" s="295"/>
      <c r="AA248" s="295"/>
      <c r="AB248" s="295"/>
      <c r="AC248" s="295"/>
      <c r="AD248" s="295"/>
      <c r="AE248" s="295"/>
      <c r="AF248" s="295"/>
      <c r="AG248" s="295"/>
      <c r="AH248" s="295"/>
      <c r="AI248" s="295"/>
    </row>
    <row r="249" spans="1:35" s="70" customFormat="1" outlineLevel="1" x14ac:dyDescent="0.45">
      <c r="K249" s="295"/>
      <c r="L249" s="295"/>
      <c r="M249" s="295"/>
      <c r="N249" s="295"/>
      <c r="O249" s="295"/>
      <c r="P249" s="295"/>
      <c r="Q249" s="295"/>
      <c r="R249" s="295"/>
      <c r="S249" s="295"/>
      <c r="T249" s="295"/>
      <c r="U249" s="295"/>
      <c r="V249" s="295"/>
      <c r="W249" s="295"/>
      <c r="X249" s="295"/>
      <c r="Y249" s="295"/>
      <c r="Z249" s="295"/>
      <c r="AA249" s="295"/>
      <c r="AB249" s="295"/>
      <c r="AC249" s="295"/>
      <c r="AD249" s="295"/>
      <c r="AE249" s="295"/>
      <c r="AF249" s="295"/>
      <c r="AG249" s="295"/>
      <c r="AH249" s="295"/>
      <c r="AI249" s="295"/>
    </row>
    <row r="250" spans="1:35" s="70" customFormat="1" outlineLevel="1" x14ac:dyDescent="0.4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row>
    <row r="251" spans="1:35" s="70" customFormat="1" outlineLevel="1" x14ac:dyDescent="0.4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row>
    <row r="252" spans="1:35" s="70" customFormat="1" outlineLevel="1" x14ac:dyDescent="0.45">
      <c r="K252" s="295"/>
      <c r="L252" s="295"/>
      <c r="M252" s="295"/>
      <c r="N252" s="295"/>
      <c r="O252" s="295"/>
      <c r="P252" s="295"/>
      <c r="Q252" s="295"/>
      <c r="R252" s="295"/>
      <c r="S252" s="295"/>
      <c r="T252" s="295"/>
      <c r="U252" s="295"/>
      <c r="V252" s="295"/>
      <c r="W252" s="295"/>
      <c r="X252" s="295"/>
      <c r="Y252" s="295"/>
      <c r="Z252" s="295"/>
      <c r="AA252" s="295"/>
      <c r="AB252" s="295"/>
      <c r="AC252" s="295"/>
      <c r="AD252" s="295"/>
      <c r="AE252" s="295"/>
      <c r="AF252" s="295"/>
      <c r="AG252" s="295"/>
      <c r="AH252" s="295"/>
      <c r="AI252" s="295"/>
    </row>
    <row r="253" spans="1:35" s="70" customFormat="1" outlineLevel="1" x14ac:dyDescent="0.45">
      <c r="K253" s="295"/>
      <c r="L253" s="295"/>
      <c r="M253" s="295"/>
      <c r="N253" s="295"/>
      <c r="O253" s="295"/>
      <c r="P253" s="295"/>
      <c r="Q253" s="295"/>
      <c r="R253" s="295"/>
      <c r="S253" s="295"/>
      <c r="T253" s="295"/>
      <c r="U253" s="295"/>
      <c r="V253" s="295"/>
      <c r="W253" s="295"/>
      <c r="X253" s="295"/>
      <c r="Y253" s="295"/>
      <c r="Z253" s="295"/>
      <c r="AA253" s="295"/>
      <c r="AB253" s="295"/>
      <c r="AC253" s="295"/>
      <c r="AD253" s="295"/>
      <c r="AE253" s="295"/>
      <c r="AF253" s="295"/>
      <c r="AG253" s="295"/>
      <c r="AH253" s="295"/>
      <c r="AI253" s="295"/>
    </row>
    <row r="254" spans="1:35" s="70" customFormat="1" outlineLevel="1" x14ac:dyDescent="0.45">
      <c r="K254" s="295"/>
      <c r="L254" s="295"/>
      <c r="M254" s="295"/>
      <c r="N254" s="295"/>
      <c r="O254" s="295"/>
      <c r="P254" s="295"/>
      <c r="Q254" s="295"/>
      <c r="R254" s="295"/>
      <c r="S254" s="295"/>
      <c r="T254" s="295"/>
      <c r="U254" s="295"/>
      <c r="V254" s="295"/>
      <c r="W254" s="295"/>
      <c r="X254" s="295"/>
      <c r="Y254" s="295"/>
      <c r="Z254" s="295"/>
      <c r="AA254" s="295"/>
      <c r="AB254" s="295"/>
      <c r="AC254" s="295"/>
      <c r="AD254" s="295"/>
      <c r="AE254" s="295"/>
      <c r="AF254" s="295"/>
      <c r="AG254" s="295"/>
      <c r="AH254" s="295"/>
      <c r="AI254" s="295"/>
    </row>
    <row r="255" spans="1:35" s="70" customFormat="1" outlineLevel="1" x14ac:dyDescent="0.45">
      <c r="K255" s="295"/>
      <c r="L255" s="295"/>
      <c r="M255" s="295"/>
      <c r="N255" s="295"/>
      <c r="O255" s="295"/>
      <c r="P255" s="295"/>
      <c r="Q255" s="295"/>
      <c r="R255" s="295"/>
      <c r="S255" s="295"/>
      <c r="T255" s="295"/>
      <c r="U255" s="295"/>
      <c r="V255" s="295"/>
      <c r="W255" s="295"/>
      <c r="X255" s="295"/>
      <c r="Y255" s="295"/>
      <c r="Z255" s="295"/>
      <c r="AA255" s="295"/>
      <c r="AB255" s="295"/>
      <c r="AC255" s="295"/>
      <c r="AD255" s="295"/>
      <c r="AE255" s="295"/>
      <c r="AF255" s="295"/>
      <c r="AG255" s="295"/>
      <c r="AH255" s="295"/>
      <c r="AI255" s="295"/>
    </row>
    <row r="256" spans="1:35" s="70" customFormat="1" outlineLevel="1" x14ac:dyDescent="0.45">
      <c r="K256" s="295"/>
      <c r="L256" s="295"/>
      <c r="M256" s="295"/>
      <c r="N256" s="295"/>
      <c r="O256" s="295"/>
      <c r="P256" s="295"/>
      <c r="Q256" s="295"/>
      <c r="R256" s="295"/>
      <c r="S256" s="295"/>
      <c r="T256" s="295"/>
      <c r="U256" s="295"/>
      <c r="V256" s="295"/>
      <c r="W256" s="295"/>
      <c r="X256" s="295"/>
      <c r="Y256" s="295"/>
      <c r="Z256" s="295"/>
      <c r="AA256" s="295"/>
      <c r="AB256" s="295"/>
      <c r="AC256" s="295"/>
      <c r="AD256" s="295"/>
      <c r="AE256" s="295"/>
      <c r="AF256" s="295"/>
      <c r="AG256" s="295"/>
      <c r="AH256" s="295"/>
      <c r="AI256" s="295"/>
    </row>
    <row r="257" spans="1:35" s="70" customFormat="1" outlineLevel="1" x14ac:dyDescent="0.45">
      <c r="K257" s="295"/>
      <c r="L257" s="295"/>
      <c r="M257" s="295"/>
      <c r="N257" s="295"/>
      <c r="O257" s="295"/>
      <c r="P257" s="295"/>
      <c r="Q257" s="295"/>
      <c r="R257" s="295"/>
      <c r="S257" s="295"/>
      <c r="T257" s="295"/>
      <c r="U257" s="295"/>
      <c r="V257" s="295"/>
      <c r="W257" s="295"/>
      <c r="X257" s="295"/>
      <c r="Y257" s="295"/>
      <c r="Z257" s="295"/>
      <c r="AA257" s="295"/>
      <c r="AB257" s="295"/>
      <c r="AC257" s="295"/>
      <c r="AD257" s="295"/>
      <c r="AE257" s="295"/>
      <c r="AF257" s="295"/>
      <c r="AG257" s="295"/>
      <c r="AH257" s="295"/>
      <c r="AI257" s="295"/>
    </row>
    <row r="258" spans="1:35" s="70" customFormat="1" outlineLevel="1" x14ac:dyDescent="0.45">
      <c r="A258" s="74"/>
      <c r="B258" s="74"/>
      <c r="C258" s="74"/>
      <c r="D258" s="74"/>
      <c r="E258" s="74"/>
      <c r="F258" s="74"/>
      <c r="G258" s="74"/>
      <c r="H258" s="74"/>
      <c r="I258" s="74"/>
      <c r="J258" s="74"/>
      <c r="K258" s="295"/>
      <c r="L258" s="295"/>
      <c r="M258" s="295"/>
      <c r="N258" s="295"/>
      <c r="O258" s="295"/>
      <c r="P258" s="295"/>
      <c r="Q258" s="295"/>
      <c r="R258" s="295"/>
      <c r="S258" s="295"/>
      <c r="T258" s="295"/>
      <c r="U258" s="295"/>
      <c r="V258" s="295"/>
      <c r="W258" s="295"/>
      <c r="X258" s="295"/>
      <c r="Y258" s="295"/>
      <c r="Z258" s="295"/>
      <c r="AA258" s="295"/>
      <c r="AB258" s="295"/>
      <c r="AC258" s="295"/>
      <c r="AD258" s="295"/>
      <c r="AE258" s="295"/>
      <c r="AF258" s="295"/>
      <c r="AG258" s="295"/>
      <c r="AH258" s="295"/>
      <c r="AI258" s="295"/>
    </row>
    <row r="259" spans="1:35" s="70" customFormat="1" outlineLevel="1" x14ac:dyDescent="0.45">
      <c r="A259" s="74"/>
      <c r="B259" s="74"/>
      <c r="C259" s="74"/>
      <c r="D259" s="74"/>
      <c r="E259" s="74"/>
      <c r="F259" s="74"/>
      <c r="G259" s="74"/>
      <c r="H259" s="74"/>
      <c r="I259" s="74"/>
      <c r="J259" s="74"/>
      <c r="K259" s="295"/>
      <c r="L259" s="295"/>
      <c r="M259" s="295"/>
      <c r="N259" s="295"/>
      <c r="O259" s="295"/>
      <c r="P259" s="295"/>
      <c r="Q259" s="295"/>
      <c r="R259" s="295"/>
      <c r="S259" s="295"/>
      <c r="T259" s="295"/>
      <c r="U259" s="295"/>
      <c r="V259" s="295"/>
      <c r="W259" s="295"/>
      <c r="X259" s="295"/>
      <c r="Y259" s="295"/>
      <c r="Z259" s="295"/>
      <c r="AA259" s="295"/>
      <c r="AB259" s="295"/>
      <c r="AC259" s="295"/>
      <c r="AD259" s="295"/>
      <c r="AE259" s="295"/>
      <c r="AF259" s="295"/>
      <c r="AG259" s="295"/>
      <c r="AH259" s="295"/>
      <c r="AI259" s="295"/>
    </row>
    <row r="260" spans="1:35" s="70" customFormat="1" outlineLevel="1" x14ac:dyDescent="0.45">
      <c r="A260" s="74"/>
      <c r="B260" s="74"/>
      <c r="C260" s="74"/>
      <c r="D260" s="74"/>
      <c r="E260" s="74"/>
      <c r="F260" s="74"/>
      <c r="G260" s="74"/>
      <c r="H260" s="74"/>
      <c r="I260" s="74"/>
      <c r="J260" s="74"/>
      <c r="K260" s="295"/>
      <c r="L260" s="295"/>
      <c r="M260" s="295"/>
      <c r="N260" s="295"/>
      <c r="O260" s="295"/>
      <c r="P260" s="295"/>
      <c r="Q260" s="295"/>
      <c r="R260" s="295"/>
      <c r="S260" s="295"/>
      <c r="T260" s="295"/>
      <c r="U260" s="295"/>
      <c r="V260" s="295"/>
      <c r="W260" s="295"/>
      <c r="X260" s="295"/>
      <c r="Y260" s="295"/>
      <c r="Z260" s="295"/>
      <c r="AA260" s="295"/>
      <c r="AB260" s="295"/>
      <c r="AC260" s="295"/>
      <c r="AD260" s="295"/>
      <c r="AE260" s="295"/>
      <c r="AF260" s="295"/>
      <c r="AG260" s="295"/>
      <c r="AH260" s="295"/>
      <c r="AI260" s="295"/>
    </row>
    <row r="261" spans="1:35" s="70" customFormat="1" outlineLevel="1" x14ac:dyDescent="0.45">
      <c r="A261" s="74"/>
      <c r="B261" s="74"/>
      <c r="C261" s="74"/>
      <c r="D261" s="74"/>
      <c r="E261" s="74"/>
      <c r="F261" s="74"/>
      <c r="G261" s="74"/>
      <c r="H261" s="74"/>
      <c r="I261" s="74"/>
      <c r="J261" s="74"/>
      <c r="K261" s="295"/>
      <c r="L261" s="295"/>
      <c r="M261" s="295"/>
      <c r="N261" s="295"/>
      <c r="O261" s="295"/>
      <c r="P261" s="295"/>
      <c r="Q261" s="295"/>
      <c r="R261" s="295"/>
      <c r="S261" s="295"/>
      <c r="T261" s="295"/>
      <c r="U261" s="295"/>
      <c r="V261" s="295"/>
      <c r="W261" s="295"/>
      <c r="X261" s="295"/>
      <c r="Y261" s="295"/>
      <c r="Z261" s="295"/>
      <c r="AA261" s="295"/>
      <c r="AB261" s="295"/>
      <c r="AC261" s="295"/>
      <c r="AD261" s="295"/>
      <c r="AE261" s="295"/>
      <c r="AF261" s="295"/>
      <c r="AG261" s="295"/>
      <c r="AH261" s="295"/>
      <c r="AI261" s="295"/>
    </row>
    <row r="262" spans="1:35" s="70" customFormat="1" outlineLevel="1" x14ac:dyDescent="0.45">
      <c r="A262" s="74"/>
      <c r="B262" s="74"/>
      <c r="C262" s="74"/>
      <c r="D262" s="74"/>
      <c r="E262" s="74"/>
      <c r="F262" s="74"/>
      <c r="G262" s="74"/>
      <c r="H262" s="74"/>
      <c r="I262" s="74"/>
      <c r="J262" s="74"/>
      <c r="K262" s="295"/>
      <c r="L262" s="295"/>
      <c r="M262" s="295"/>
      <c r="N262" s="295"/>
      <c r="O262" s="295"/>
      <c r="P262" s="295"/>
      <c r="Q262" s="295"/>
      <c r="R262" s="295"/>
      <c r="S262" s="295"/>
      <c r="T262" s="295"/>
      <c r="U262" s="295"/>
      <c r="V262" s="295"/>
      <c r="W262" s="295"/>
      <c r="X262" s="295"/>
      <c r="Y262" s="295"/>
      <c r="Z262" s="295"/>
      <c r="AA262" s="295"/>
      <c r="AB262" s="295"/>
      <c r="AC262" s="295"/>
      <c r="AD262" s="295"/>
      <c r="AE262" s="295"/>
      <c r="AF262" s="295"/>
      <c r="AG262" s="295"/>
      <c r="AH262" s="295"/>
      <c r="AI262" s="295"/>
    </row>
    <row r="263" spans="1:35" s="70" customFormat="1" outlineLevel="1" x14ac:dyDescent="0.45">
      <c r="A263" s="74"/>
      <c r="B263" s="74"/>
      <c r="C263" s="74"/>
      <c r="D263" s="74"/>
      <c r="E263" s="74"/>
      <c r="F263" s="74"/>
      <c r="G263" s="74"/>
      <c r="H263" s="74"/>
      <c r="I263" s="74"/>
      <c r="J263" s="74"/>
      <c r="K263" s="295"/>
      <c r="L263" s="295"/>
      <c r="M263" s="295"/>
      <c r="N263" s="295"/>
      <c r="O263" s="295"/>
      <c r="P263" s="295"/>
      <c r="Q263" s="295"/>
      <c r="R263" s="295"/>
      <c r="S263" s="295"/>
      <c r="T263" s="295"/>
      <c r="U263" s="295"/>
      <c r="V263" s="295"/>
      <c r="W263" s="295"/>
      <c r="X263" s="295"/>
      <c r="Y263" s="295"/>
      <c r="Z263" s="295"/>
      <c r="AA263" s="295"/>
      <c r="AB263" s="295"/>
      <c r="AC263" s="295"/>
      <c r="AD263" s="295"/>
      <c r="AE263" s="295"/>
      <c r="AF263" s="295"/>
      <c r="AG263" s="295"/>
      <c r="AH263" s="295"/>
      <c r="AI263" s="295"/>
    </row>
    <row r="264" spans="1:35" s="70" customFormat="1" outlineLevel="1" x14ac:dyDescent="0.45">
      <c r="A264" s="74"/>
      <c r="B264" s="74"/>
      <c r="C264" s="74"/>
      <c r="D264" s="74"/>
      <c r="E264" s="74"/>
      <c r="F264" s="74"/>
      <c r="G264" s="74"/>
      <c r="H264" s="74"/>
      <c r="I264" s="74"/>
      <c r="J264" s="74"/>
      <c r="K264" s="295"/>
      <c r="L264" s="295"/>
      <c r="M264" s="295"/>
      <c r="N264" s="295"/>
      <c r="O264" s="295"/>
      <c r="P264" s="295"/>
      <c r="Q264" s="295"/>
      <c r="R264" s="295"/>
      <c r="S264" s="295"/>
      <c r="T264" s="295"/>
      <c r="U264" s="295"/>
      <c r="V264" s="295"/>
      <c r="W264" s="295"/>
      <c r="X264" s="295"/>
      <c r="Y264" s="295"/>
      <c r="Z264" s="295"/>
      <c r="AA264" s="295"/>
      <c r="AB264" s="295"/>
      <c r="AC264" s="295"/>
      <c r="AD264" s="295"/>
      <c r="AE264" s="295"/>
      <c r="AF264" s="295"/>
      <c r="AG264" s="295"/>
      <c r="AH264" s="295"/>
      <c r="AI264" s="295"/>
    </row>
    <row r="265" spans="1:35" s="70" customFormat="1" outlineLevel="1" x14ac:dyDescent="0.45">
      <c r="A265" s="74"/>
      <c r="B265" s="74"/>
      <c r="C265" s="74"/>
      <c r="D265" s="74"/>
      <c r="E265" s="74"/>
      <c r="F265" s="74"/>
      <c r="G265" s="74"/>
      <c r="H265" s="74"/>
      <c r="I265" s="74"/>
      <c r="J265" s="74"/>
      <c r="K265" s="295"/>
      <c r="L265" s="295"/>
      <c r="M265" s="295"/>
      <c r="N265" s="295"/>
      <c r="O265" s="295"/>
      <c r="P265" s="295"/>
      <c r="Q265" s="295"/>
      <c r="R265" s="295"/>
      <c r="S265" s="295"/>
      <c r="T265" s="295"/>
      <c r="U265" s="295"/>
      <c r="V265" s="295"/>
      <c r="W265" s="295"/>
      <c r="X265" s="295"/>
      <c r="Y265" s="295"/>
      <c r="Z265" s="295"/>
      <c r="AA265" s="295"/>
      <c r="AB265" s="295"/>
      <c r="AC265" s="295"/>
      <c r="AD265" s="295"/>
      <c r="AE265" s="295"/>
      <c r="AF265" s="295"/>
      <c r="AG265" s="295"/>
      <c r="AH265" s="295"/>
      <c r="AI265" s="295"/>
    </row>
    <row r="266" spans="1:35" s="70" customFormat="1" outlineLevel="1" x14ac:dyDescent="0.45">
      <c r="A266" s="74"/>
      <c r="B266" s="74"/>
      <c r="C266" s="74"/>
      <c r="D266" s="74"/>
      <c r="E266" s="74"/>
      <c r="F266" s="74"/>
      <c r="G266" s="74"/>
      <c r="H266" s="74"/>
      <c r="I266" s="74"/>
      <c r="J266" s="74"/>
      <c r="K266" s="295"/>
      <c r="L266" s="295"/>
      <c r="M266" s="295"/>
      <c r="N266" s="295"/>
      <c r="O266" s="295"/>
      <c r="P266" s="295"/>
      <c r="Q266" s="295"/>
      <c r="R266" s="295"/>
      <c r="S266" s="295"/>
      <c r="T266" s="295"/>
      <c r="U266" s="295"/>
      <c r="V266" s="295"/>
      <c r="W266" s="295"/>
      <c r="X266" s="295"/>
      <c r="Y266" s="295"/>
      <c r="Z266" s="295"/>
      <c r="AA266" s="295"/>
      <c r="AB266" s="295"/>
      <c r="AC266" s="295"/>
      <c r="AD266" s="295"/>
      <c r="AE266" s="295"/>
      <c r="AF266" s="295"/>
      <c r="AG266" s="295"/>
      <c r="AH266" s="295"/>
      <c r="AI266" s="295"/>
    </row>
    <row r="267" spans="1:35" s="70" customFormat="1" outlineLevel="1" x14ac:dyDescent="0.45">
      <c r="A267" s="74"/>
      <c r="B267" s="74"/>
      <c r="C267" s="74"/>
      <c r="D267" s="74"/>
      <c r="E267" s="74"/>
      <c r="F267" s="74"/>
      <c r="G267" s="74"/>
      <c r="H267" s="74"/>
      <c r="I267" s="74"/>
      <c r="J267" s="74"/>
      <c r="K267" s="295"/>
      <c r="L267" s="295"/>
      <c r="M267" s="295"/>
      <c r="N267" s="295"/>
      <c r="O267" s="295"/>
      <c r="P267" s="295"/>
      <c r="Q267" s="295"/>
      <c r="R267" s="295"/>
      <c r="S267" s="295"/>
      <c r="T267" s="295"/>
      <c r="U267" s="295"/>
      <c r="V267" s="295"/>
      <c r="W267" s="295"/>
      <c r="X267" s="295"/>
      <c r="Y267" s="295"/>
      <c r="Z267" s="295"/>
      <c r="AA267" s="295"/>
      <c r="AB267" s="295"/>
      <c r="AC267" s="295"/>
      <c r="AD267" s="295"/>
      <c r="AE267" s="295"/>
      <c r="AF267" s="295"/>
      <c r="AG267" s="295"/>
      <c r="AH267" s="295"/>
      <c r="AI267" s="295"/>
    </row>
    <row r="268" spans="1:35" s="70" customFormat="1" outlineLevel="1" x14ac:dyDescent="0.45">
      <c r="A268" s="74"/>
      <c r="B268" s="74"/>
      <c r="C268" s="74"/>
      <c r="D268" s="74"/>
      <c r="E268" s="74"/>
      <c r="F268" s="74"/>
      <c r="G268" s="74"/>
      <c r="H268" s="74"/>
      <c r="I268" s="74"/>
      <c r="J268" s="74"/>
      <c r="K268" s="295"/>
      <c r="L268" s="295"/>
      <c r="M268" s="295"/>
      <c r="N268" s="295"/>
      <c r="O268" s="295"/>
      <c r="P268" s="295"/>
      <c r="Q268" s="295"/>
      <c r="R268" s="295"/>
      <c r="S268" s="295"/>
      <c r="T268" s="295"/>
      <c r="U268" s="295"/>
      <c r="V268" s="295"/>
      <c r="W268" s="295"/>
      <c r="X268" s="295"/>
      <c r="Y268" s="295"/>
      <c r="Z268" s="295"/>
      <c r="AA268" s="295"/>
      <c r="AB268" s="295"/>
      <c r="AC268" s="295"/>
      <c r="AD268" s="295"/>
      <c r="AE268" s="295"/>
      <c r="AF268" s="295"/>
      <c r="AG268" s="295"/>
      <c r="AH268" s="295"/>
      <c r="AI268" s="295"/>
    </row>
    <row r="269" spans="1:35" s="70" customFormat="1" outlineLevel="1" x14ac:dyDescent="0.45">
      <c r="A269" s="74"/>
      <c r="B269" s="74"/>
      <c r="C269" s="74"/>
      <c r="D269" s="74"/>
      <c r="E269" s="74"/>
      <c r="F269" s="74"/>
      <c r="G269" s="74"/>
      <c r="H269" s="74"/>
      <c r="I269" s="74"/>
      <c r="J269" s="74"/>
      <c r="K269" s="295"/>
      <c r="L269" s="295"/>
      <c r="M269" s="295"/>
      <c r="N269" s="295"/>
      <c r="O269" s="295"/>
      <c r="P269" s="295"/>
      <c r="Q269" s="295"/>
      <c r="R269" s="295"/>
      <c r="S269" s="295"/>
      <c r="T269" s="295"/>
      <c r="U269" s="295"/>
      <c r="V269" s="295"/>
      <c r="W269" s="295"/>
      <c r="X269" s="295"/>
      <c r="Y269" s="295"/>
      <c r="Z269" s="295"/>
      <c r="AA269" s="295"/>
      <c r="AB269" s="295"/>
      <c r="AC269" s="295"/>
      <c r="AD269" s="295"/>
      <c r="AE269" s="295"/>
      <c r="AF269" s="295"/>
      <c r="AG269" s="295"/>
      <c r="AH269" s="295"/>
      <c r="AI269" s="295"/>
    </row>
    <row r="270" spans="1:35" s="70" customFormat="1" outlineLevel="1" x14ac:dyDescent="0.45">
      <c r="A270" s="74"/>
      <c r="B270" s="74"/>
      <c r="C270" s="74"/>
      <c r="D270" s="74"/>
      <c r="E270" s="74"/>
      <c r="F270" s="74"/>
      <c r="G270" s="74"/>
      <c r="H270" s="74"/>
      <c r="I270" s="74"/>
      <c r="J270" s="74"/>
      <c r="K270" s="295"/>
      <c r="L270" s="295"/>
      <c r="M270" s="295"/>
      <c r="N270" s="295"/>
      <c r="O270" s="295"/>
      <c r="P270" s="295"/>
      <c r="Q270" s="295"/>
      <c r="R270" s="295"/>
      <c r="S270" s="295"/>
      <c r="T270" s="295"/>
      <c r="U270" s="295"/>
      <c r="V270" s="295"/>
      <c r="W270" s="295"/>
      <c r="X270" s="295"/>
      <c r="Y270" s="295"/>
      <c r="Z270" s="295"/>
      <c r="AA270" s="295"/>
      <c r="AB270" s="295"/>
      <c r="AC270" s="295"/>
      <c r="AD270" s="295"/>
      <c r="AE270" s="295"/>
      <c r="AF270" s="295"/>
      <c r="AG270" s="295"/>
      <c r="AH270" s="295"/>
      <c r="AI270" s="295"/>
    </row>
    <row r="271" spans="1:35" s="70" customFormat="1" x14ac:dyDescent="0.45">
      <c r="A271" s="74"/>
      <c r="B271" s="74"/>
      <c r="C271" s="74"/>
      <c r="D271" s="74"/>
      <c r="E271" s="74"/>
      <c r="F271" s="74"/>
      <c r="G271" s="74"/>
      <c r="H271" s="74"/>
      <c r="I271" s="74"/>
      <c r="J271" s="74"/>
      <c r="K271" s="295"/>
      <c r="L271" s="295"/>
      <c r="M271" s="295"/>
      <c r="N271" s="295"/>
      <c r="O271" s="295"/>
      <c r="P271" s="295"/>
      <c r="Q271" s="295"/>
      <c r="R271" s="295"/>
      <c r="S271" s="295"/>
      <c r="T271" s="295"/>
      <c r="U271" s="295"/>
      <c r="V271" s="295"/>
      <c r="W271" s="295"/>
      <c r="X271" s="295"/>
      <c r="Y271" s="295"/>
      <c r="Z271" s="295"/>
      <c r="AA271" s="295"/>
      <c r="AB271" s="295"/>
      <c r="AC271" s="295"/>
      <c r="AD271" s="295"/>
      <c r="AE271" s="295"/>
      <c r="AF271" s="295"/>
      <c r="AG271" s="295"/>
      <c r="AH271" s="295"/>
      <c r="AI271" s="295"/>
    </row>
    <row r="272" spans="1:35" ht="16.149999999999999" thickBot="1" x14ac:dyDescent="0.55000000000000004">
      <c r="A272" s="75" t="s">
        <v>208</v>
      </c>
      <c r="B272" s="73"/>
      <c r="C272" s="73"/>
      <c r="D272" s="73"/>
      <c r="E272" s="73"/>
      <c r="F272" s="73"/>
      <c r="G272" s="73"/>
      <c r="H272" s="73"/>
      <c r="I272" s="73"/>
      <c r="J272" s="73"/>
      <c r="K272" s="295"/>
      <c r="L272" s="295"/>
      <c r="M272" s="295"/>
      <c r="N272" s="295"/>
      <c r="O272" s="295"/>
      <c r="P272" s="295"/>
      <c r="Q272" s="295"/>
      <c r="R272" s="295"/>
      <c r="S272" s="295"/>
      <c r="T272" s="295"/>
      <c r="U272" s="295"/>
      <c r="V272" s="295"/>
      <c r="W272" s="295"/>
      <c r="X272" s="295"/>
      <c r="Y272" s="295"/>
      <c r="Z272" s="295"/>
      <c r="AA272" s="295"/>
      <c r="AB272" s="295"/>
      <c r="AC272" s="295"/>
      <c r="AD272" s="295"/>
      <c r="AE272" s="295"/>
      <c r="AF272" s="295"/>
      <c r="AG272" s="295"/>
      <c r="AH272" s="295"/>
      <c r="AI272" s="295"/>
    </row>
    <row r="273" spans="1:35" outlineLevel="1" x14ac:dyDescent="0.45">
      <c r="A273" s="74"/>
      <c r="B273" s="74"/>
      <c r="C273" s="74"/>
      <c r="D273" s="74"/>
      <c r="E273" s="74"/>
      <c r="F273" s="74"/>
      <c r="G273" s="74"/>
      <c r="H273" s="74"/>
      <c r="I273" s="74"/>
      <c r="J273" s="74"/>
      <c r="K273" s="295"/>
      <c r="L273" s="295"/>
      <c r="M273" s="295"/>
      <c r="N273" s="295"/>
      <c r="O273" s="295"/>
      <c r="P273" s="295"/>
      <c r="Q273" s="295"/>
      <c r="R273" s="295"/>
      <c r="S273" s="295"/>
      <c r="T273" s="295"/>
      <c r="U273" s="295"/>
      <c r="V273" s="295"/>
      <c r="W273" s="295"/>
      <c r="X273" s="295"/>
      <c r="Y273" s="295"/>
      <c r="Z273" s="295"/>
      <c r="AA273" s="295"/>
      <c r="AB273" s="295"/>
      <c r="AC273" s="295"/>
      <c r="AD273" s="295"/>
      <c r="AE273" s="295"/>
      <c r="AF273" s="295"/>
      <c r="AG273" s="295"/>
      <c r="AH273" s="295"/>
      <c r="AI273" s="295"/>
    </row>
    <row r="274" spans="1:35" outlineLevel="1" x14ac:dyDescent="0.45">
      <c r="A274" s="798" t="s">
        <v>209</v>
      </c>
      <c r="B274" s="798"/>
    </row>
    <row r="275" spans="1:35" outlineLevel="1" x14ac:dyDescent="0.45">
      <c r="A275" s="798"/>
      <c r="B275" s="798"/>
    </row>
    <row r="276" spans="1:35" outlineLevel="1" x14ac:dyDescent="0.45">
      <c r="A276" s="798"/>
      <c r="B276" s="798"/>
    </row>
    <row r="277" spans="1:35" outlineLevel="1" x14ac:dyDescent="0.45">
      <c r="A277" s="798"/>
      <c r="B277" s="798"/>
    </row>
    <row r="278" spans="1:35" outlineLevel="1" x14ac:dyDescent="0.45">
      <c r="A278" s="798"/>
      <c r="B278" s="798"/>
    </row>
    <row r="279" spans="1:35" outlineLevel="1" x14ac:dyDescent="0.45">
      <c r="A279" s="798"/>
      <c r="B279" s="798"/>
    </row>
    <row r="280" spans="1:35" outlineLevel="1" x14ac:dyDescent="0.45">
      <c r="A280" s="798"/>
      <c r="B280" s="798"/>
    </row>
    <row r="281" spans="1:35" outlineLevel="1" x14ac:dyDescent="0.45">
      <c r="A281" s="74"/>
      <c r="B281" s="74"/>
    </row>
    <row r="282" spans="1:35" outlineLevel="1" x14ac:dyDescent="0.45">
      <c r="A282" s="74"/>
      <c r="B282" s="74"/>
    </row>
    <row r="283" spans="1:35" outlineLevel="1" x14ac:dyDescent="0.45">
      <c r="A283" s="74"/>
      <c r="B283" s="74"/>
    </row>
    <row r="284" spans="1:35" outlineLevel="1" x14ac:dyDescent="0.45">
      <c r="A284" s="74"/>
      <c r="B284" s="74"/>
    </row>
    <row r="285" spans="1:35" outlineLevel="1" x14ac:dyDescent="0.45">
      <c r="A285" s="74"/>
      <c r="B285" s="74"/>
    </row>
    <row r="286" spans="1:35" outlineLevel="1" x14ac:dyDescent="0.45">
      <c r="A286" s="74"/>
      <c r="B286" s="74"/>
    </row>
    <row r="287" spans="1:35" outlineLevel="1" x14ac:dyDescent="0.45">
      <c r="A287" s="74"/>
      <c r="B287" s="74"/>
    </row>
    <row r="288" spans="1:35" outlineLevel="1" x14ac:dyDescent="0.45">
      <c r="A288" s="74"/>
      <c r="B288" s="74"/>
    </row>
    <row r="289" spans="1:2" outlineLevel="1" x14ac:dyDescent="0.45">
      <c r="A289" s="74"/>
      <c r="B289" s="74"/>
    </row>
    <row r="290" spans="1:2" outlineLevel="1" x14ac:dyDescent="0.45"/>
    <row r="291" spans="1:2" outlineLevel="1" x14ac:dyDescent="0.45"/>
    <row r="292" spans="1:2" outlineLevel="1" x14ac:dyDescent="0.45"/>
    <row r="293" spans="1:2" outlineLevel="1" x14ac:dyDescent="0.45"/>
    <row r="294" spans="1:2" outlineLevel="1" x14ac:dyDescent="0.45"/>
    <row r="295" spans="1:2" outlineLevel="1" x14ac:dyDescent="0.45"/>
    <row r="296" spans="1:2" outlineLevel="1" x14ac:dyDescent="0.45"/>
    <row r="297" spans="1:2" outlineLevel="1" x14ac:dyDescent="0.45"/>
    <row r="298" spans="1:2" outlineLevel="1" x14ac:dyDescent="0.45"/>
    <row r="299" spans="1:2" outlineLevel="1" x14ac:dyDescent="0.45"/>
    <row r="300" spans="1:2" outlineLevel="1" x14ac:dyDescent="0.45"/>
    <row r="301" spans="1:2" outlineLevel="1" x14ac:dyDescent="0.45"/>
    <row r="302" spans="1:2" outlineLevel="1" x14ac:dyDescent="0.45"/>
    <row r="303" spans="1:2" outlineLevel="1" x14ac:dyDescent="0.45"/>
    <row r="304" spans="1:2" outlineLevel="1" x14ac:dyDescent="0.45"/>
    <row r="305" spans="1:5" outlineLevel="1" x14ac:dyDescent="0.45"/>
    <row r="306" spans="1:5" outlineLevel="1" x14ac:dyDescent="0.45">
      <c r="A306" s="74"/>
      <c r="B306" s="74"/>
      <c r="C306" s="74"/>
      <c r="D306" s="74"/>
      <c r="E306" s="74"/>
    </row>
    <row r="307" spans="1:5" outlineLevel="1" x14ac:dyDescent="0.45">
      <c r="A307" s="74"/>
      <c r="B307" s="74"/>
      <c r="C307" s="74"/>
      <c r="D307" s="74"/>
      <c r="E307" s="74"/>
    </row>
    <row r="308" spans="1:5" outlineLevel="1" x14ac:dyDescent="0.45">
      <c r="A308" s="74"/>
      <c r="B308" s="74"/>
      <c r="C308" s="74"/>
      <c r="D308" s="74"/>
      <c r="E308" s="74"/>
    </row>
    <row r="309" spans="1:5" outlineLevel="1" x14ac:dyDescent="0.45">
      <c r="A309" s="74"/>
      <c r="B309" s="74"/>
      <c r="C309" s="74"/>
      <c r="D309" s="74"/>
      <c r="E309" s="74"/>
    </row>
    <row r="310" spans="1:5" outlineLevel="1" x14ac:dyDescent="0.45">
      <c r="A310" s="74"/>
      <c r="B310" s="74"/>
      <c r="C310" s="74"/>
      <c r="D310" s="74"/>
      <c r="E310" s="74"/>
    </row>
    <row r="311" spans="1:5" outlineLevel="1" x14ac:dyDescent="0.45">
      <c r="A311" s="74"/>
      <c r="B311" s="74"/>
      <c r="C311" s="74"/>
      <c r="D311" s="74"/>
      <c r="E311" s="74"/>
    </row>
    <row r="312" spans="1:5" outlineLevel="1" x14ac:dyDescent="0.45">
      <c r="A312" s="74"/>
      <c r="B312" s="74"/>
      <c r="C312" s="74"/>
      <c r="D312" s="74"/>
      <c r="E312" s="74"/>
    </row>
    <row r="313" spans="1:5" x14ac:dyDescent="0.45">
      <c r="A313" s="74"/>
      <c r="B313" s="74"/>
      <c r="C313" s="74"/>
      <c r="D313" s="74"/>
      <c r="E313" s="74"/>
    </row>
    <row r="314" spans="1:5" s="86" customFormat="1" x14ac:dyDescent="0.45">
      <c r="A314" s="295"/>
      <c r="B314" s="295"/>
      <c r="C314" s="295"/>
      <c r="D314" s="295"/>
      <c r="E314" s="295"/>
    </row>
    <row r="315" spans="1:5" s="86" customFormat="1" x14ac:dyDescent="0.45">
      <c r="A315" s="295"/>
      <c r="B315" s="295"/>
      <c r="C315" s="295"/>
      <c r="D315" s="295"/>
      <c r="E315" s="295"/>
    </row>
    <row r="316" spans="1:5" s="86" customFormat="1" x14ac:dyDescent="0.45">
      <c r="A316" s="295"/>
      <c r="B316" s="295"/>
      <c r="C316" s="295"/>
      <c r="D316" s="295"/>
      <c r="E316" s="295"/>
    </row>
    <row r="317" spans="1:5" s="86" customFormat="1" ht="0.4" customHeight="1" x14ac:dyDescent="0.45">
      <c r="A317" s="295"/>
      <c r="B317" s="206" t="s">
        <v>210</v>
      </c>
      <c r="C317" s="295" t="s">
        <v>211</v>
      </c>
      <c r="D317" s="206" t="s">
        <v>212</v>
      </c>
      <c r="E317" s="206" t="s">
        <v>213</v>
      </c>
    </row>
    <row r="318" spans="1:5" s="86" customFormat="1" ht="0.4" customHeight="1" x14ac:dyDescent="0.45">
      <c r="A318" s="295" t="s">
        <v>214</v>
      </c>
      <c r="B318" s="160">
        <f>$P$4</f>
        <v>0</v>
      </c>
      <c r="C318" s="160">
        <f>$O$4</f>
        <v>0.22297740963855422</v>
      </c>
      <c r="D318" s="160">
        <f>$R$4</f>
        <v>0</v>
      </c>
      <c r="E318" s="160">
        <f>$Q$4</f>
        <v>0</v>
      </c>
    </row>
    <row r="319" spans="1:5" s="86" customFormat="1" ht="0.4" customHeight="1" x14ac:dyDescent="0.45">
      <c r="A319" s="295" t="s">
        <v>214</v>
      </c>
      <c r="B319" s="160">
        <f>$O$4-$P$4</f>
        <v>0.22297740963855422</v>
      </c>
      <c r="C319" s="295"/>
      <c r="D319" s="160">
        <f>$Q$4-$R$4</f>
        <v>0</v>
      </c>
      <c r="E319" s="295"/>
    </row>
    <row r="320" spans="1:5" s="86" customFormat="1" ht="0.4" customHeight="1" x14ac:dyDescent="0.45">
      <c r="A320" s="295" t="s">
        <v>215</v>
      </c>
      <c r="B320" s="160">
        <f>$P$29</f>
        <v>0</v>
      </c>
      <c r="C320" s="160">
        <f>$O$29</f>
        <v>0.18658341669717987</v>
      </c>
      <c r="D320" s="160">
        <f>$R$29</f>
        <v>0</v>
      </c>
      <c r="E320" s="160">
        <f>$Q$29</f>
        <v>0</v>
      </c>
    </row>
    <row r="321" spans="1:6" s="86" customFormat="1" ht="0.4" customHeight="1" x14ac:dyDescent="0.45">
      <c r="A321" s="295" t="s">
        <v>215</v>
      </c>
      <c r="B321" s="160">
        <f>$O$29-$P$29</f>
        <v>0.18658341669717987</v>
      </c>
      <c r="C321" s="295"/>
      <c r="D321" s="160">
        <f>$Q$29-$R$29</f>
        <v>0</v>
      </c>
      <c r="E321" s="295"/>
    </row>
    <row r="322" spans="1:6" s="86" customFormat="1" ht="0.4" customHeight="1" x14ac:dyDescent="0.45">
      <c r="A322" s="295" t="s">
        <v>216</v>
      </c>
      <c r="B322" s="160" t="e">
        <f>$P$48</f>
        <v>#REF!</v>
      </c>
      <c r="C322" s="160" t="e">
        <f>$O$48</f>
        <v>#REF!</v>
      </c>
      <c r="D322" s="160" t="e">
        <f>$R$48</f>
        <v>#REF!</v>
      </c>
      <c r="E322" s="160">
        <f>$Q$48</f>
        <v>0</v>
      </c>
      <c r="F322" s="295"/>
    </row>
    <row r="323" spans="1:6" s="86" customFormat="1" ht="0.4" customHeight="1" x14ac:dyDescent="0.45">
      <c r="A323" s="295" t="s">
        <v>216</v>
      </c>
      <c r="B323" s="160" t="e">
        <f>$O$48-$P$48</f>
        <v>#REF!</v>
      </c>
      <c r="C323" s="295"/>
      <c r="D323" s="160" t="e">
        <f>$Q$48-$R$48</f>
        <v>#REF!</v>
      </c>
      <c r="E323" s="295"/>
      <c r="F323" s="295"/>
    </row>
    <row r="324" spans="1:6" s="86" customFormat="1" ht="0.4" customHeight="1" x14ac:dyDescent="0.45">
      <c r="A324" s="295" t="s">
        <v>217</v>
      </c>
      <c r="B324" s="160">
        <f>$P$115</f>
        <v>0</v>
      </c>
      <c r="C324" s="160">
        <f>$O$115</f>
        <v>0.20874745528573507</v>
      </c>
      <c r="D324" s="160">
        <f>$R$115</f>
        <v>0</v>
      </c>
      <c r="E324" s="160">
        <f>$Q$115</f>
        <v>0</v>
      </c>
      <c r="F324" s="295"/>
    </row>
    <row r="325" spans="1:6" s="86" customFormat="1" ht="0.4" customHeight="1" x14ac:dyDescent="0.45">
      <c r="A325" s="295" t="s">
        <v>217</v>
      </c>
      <c r="B325" s="160">
        <f>$O$115-$P$115</f>
        <v>0.20874745528573507</v>
      </c>
      <c r="C325" s="295"/>
      <c r="D325" s="160">
        <f>$Q$115-$R$115</f>
        <v>0</v>
      </c>
      <c r="E325" s="295"/>
      <c r="F325" s="295"/>
    </row>
    <row r="326" spans="1:6" s="86" customFormat="1" ht="0.4" customHeight="1" x14ac:dyDescent="0.45">
      <c r="A326" s="295" t="s">
        <v>218</v>
      </c>
      <c r="B326" s="160">
        <f>$P$148</f>
        <v>0</v>
      </c>
      <c r="C326" s="160">
        <f>$O$148</f>
        <v>0.11595410628019323</v>
      </c>
      <c r="D326" s="160">
        <f>$R$148</f>
        <v>0</v>
      </c>
      <c r="E326" s="160">
        <f>$Q$148</f>
        <v>0</v>
      </c>
      <c r="F326" s="295"/>
    </row>
    <row r="327" spans="1:6" s="86" customFormat="1" ht="0.4" customHeight="1" x14ac:dyDescent="0.45">
      <c r="A327" s="295" t="s">
        <v>218</v>
      </c>
      <c r="B327" s="160">
        <f>$O$148-$P$148</f>
        <v>0.11595410628019323</v>
      </c>
      <c r="C327" s="295"/>
      <c r="D327" s="160">
        <f>$Q$148-$R$148</f>
        <v>0</v>
      </c>
      <c r="E327" s="295"/>
      <c r="F327" s="295"/>
    </row>
    <row r="328" spans="1:6" s="86" customFormat="1" ht="0.4" customHeight="1" x14ac:dyDescent="0.45">
      <c r="A328" s="295"/>
      <c r="B328" s="160"/>
      <c r="C328" s="160"/>
      <c r="D328" s="295"/>
      <c r="E328" s="295"/>
      <c r="F328" s="295"/>
    </row>
    <row r="329" spans="1:6" s="86" customFormat="1" ht="0.4" customHeight="1" x14ac:dyDescent="0.45">
      <c r="A329" s="295"/>
      <c r="B329" s="206" t="s">
        <v>210</v>
      </c>
      <c r="C329" s="295" t="s">
        <v>219</v>
      </c>
      <c r="D329" s="295" t="s">
        <v>220</v>
      </c>
      <c r="E329" s="295" t="s">
        <v>221</v>
      </c>
      <c r="F329" s="206" t="s">
        <v>212</v>
      </c>
    </row>
    <row r="330" spans="1:6" s="86" customFormat="1" ht="0.4" customHeight="1" x14ac:dyDescent="0.45">
      <c r="A330" s="295" t="s">
        <v>214</v>
      </c>
      <c r="B330" s="160">
        <f>$P$4/$O$4</f>
        <v>0</v>
      </c>
      <c r="C330" s="207">
        <v>0.65</v>
      </c>
      <c r="D330" s="207">
        <v>0.5</v>
      </c>
      <c r="E330" s="207">
        <v>0.35</v>
      </c>
      <c r="F330" s="160" t="e">
        <f>$R$4/$Q$4</f>
        <v>#DIV/0!</v>
      </c>
    </row>
    <row r="331" spans="1:6" s="86" customFormat="1" ht="0.4" customHeight="1" x14ac:dyDescent="0.45">
      <c r="A331" s="295" t="s">
        <v>215</v>
      </c>
      <c r="B331" s="160">
        <f>$P$29/$O$29</f>
        <v>0</v>
      </c>
      <c r="C331" s="207">
        <v>0.65</v>
      </c>
      <c r="D331" s="207">
        <v>0.5</v>
      </c>
      <c r="E331" s="207">
        <v>0.35</v>
      </c>
      <c r="F331" s="160" t="e">
        <f>$R$29/$Q$29</f>
        <v>#DIV/0!</v>
      </c>
    </row>
    <row r="332" spans="1:6" s="86" customFormat="1" ht="0.4" customHeight="1" x14ac:dyDescent="0.45">
      <c r="A332" s="295" t="s">
        <v>216</v>
      </c>
      <c r="B332" s="160" t="e">
        <f>$P$48/$O$48</f>
        <v>#REF!</v>
      </c>
      <c r="C332" s="207">
        <v>0.65</v>
      </c>
      <c r="D332" s="207">
        <v>0.5</v>
      </c>
      <c r="E332" s="207">
        <v>0.35</v>
      </c>
      <c r="F332" s="160" t="e">
        <f>$R$48/$Q$48</f>
        <v>#REF!</v>
      </c>
    </row>
    <row r="333" spans="1:6" s="86" customFormat="1" ht="0.4" customHeight="1" x14ac:dyDescent="0.45">
      <c r="A333" s="295" t="s">
        <v>217</v>
      </c>
      <c r="B333" s="160">
        <f>$P$115/$O$115</f>
        <v>0</v>
      </c>
      <c r="C333" s="207">
        <v>0.65</v>
      </c>
      <c r="D333" s="207">
        <v>0.5</v>
      </c>
      <c r="E333" s="207">
        <v>0.35</v>
      </c>
      <c r="F333" s="160" t="e">
        <f>$R$115/$Q$115</f>
        <v>#DIV/0!</v>
      </c>
    </row>
    <row r="334" spans="1:6" s="86" customFormat="1" ht="0.4" customHeight="1" x14ac:dyDescent="0.45">
      <c r="A334" s="295" t="s">
        <v>218</v>
      </c>
      <c r="B334" s="160">
        <f>$P$148/$O$148</f>
        <v>0</v>
      </c>
      <c r="C334" s="207">
        <v>0.65</v>
      </c>
      <c r="D334" s="207">
        <v>0.5</v>
      </c>
      <c r="E334" s="207">
        <v>0.35</v>
      </c>
      <c r="F334" s="160" t="e">
        <f>$R$148/$Q$148</f>
        <v>#DIV/0!</v>
      </c>
    </row>
    <row r="335" spans="1:6" s="86" customFormat="1" x14ac:dyDescent="0.45">
      <c r="A335" s="295"/>
      <c r="B335" s="295"/>
      <c r="C335" s="295"/>
      <c r="D335" s="295"/>
      <c r="E335" s="295"/>
      <c r="F335" s="295"/>
    </row>
    <row r="336" spans="1:6" s="86" customFormat="1" x14ac:dyDescent="0.45">
      <c r="A336" s="295"/>
      <c r="B336" s="206"/>
      <c r="C336" s="295"/>
      <c r="D336" s="206"/>
      <c r="E336" s="206"/>
      <c r="F336" s="295"/>
    </row>
    <row r="337" spans="1:6" s="86" customFormat="1" x14ac:dyDescent="0.45">
      <c r="A337" s="295"/>
      <c r="B337" s="160"/>
      <c r="C337" s="295"/>
      <c r="D337" s="160"/>
      <c r="E337" s="295"/>
      <c r="F337" s="295"/>
    </row>
    <row r="338" spans="1:6" s="86" customFormat="1" x14ac:dyDescent="0.45">
      <c r="B338" s="160"/>
      <c r="C338" s="295"/>
      <c r="D338" s="160"/>
    </row>
    <row r="339" spans="1:6" s="86" customFormat="1" x14ac:dyDescent="0.45">
      <c r="B339" s="160"/>
      <c r="C339" s="295"/>
      <c r="D339" s="160"/>
    </row>
    <row r="340" spans="1:6" s="86" customFormat="1" x14ac:dyDescent="0.45">
      <c r="B340" s="160"/>
      <c r="C340" s="295"/>
      <c r="D340" s="160"/>
    </row>
    <row r="341" spans="1:6" s="86" customFormat="1" x14ac:dyDescent="0.45">
      <c r="B341" s="160"/>
      <c r="C341" s="295"/>
      <c r="D341" s="160"/>
    </row>
    <row r="342" spans="1:6" s="86" customFormat="1" x14ac:dyDescent="0.45">
      <c r="B342" s="160"/>
      <c r="C342" s="295"/>
      <c r="D342" s="160"/>
    </row>
    <row r="343" spans="1:6" s="86" customFormat="1" x14ac:dyDescent="0.45">
      <c r="B343" s="160"/>
      <c r="C343" s="295"/>
      <c r="D343" s="160"/>
    </row>
    <row r="344" spans="1:6" s="86" customFormat="1" x14ac:dyDescent="0.45">
      <c r="B344" s="160"/>
      <c r="C344" s="295"/>
      <c r="D344" s="160"/>
    </row>
    <row r="345" spans="1:6" s="86" customFormat="1" x14ac:dyDescent="0.45">
      <c r="B345" s="160"/>
      <c r="C345" s="295"/>
      <c r="D345" s="160"/>
    </row>
    <row r="346" spans="1:6" s="86" customFormat="1" x14ac:dyDescent="0.45">
      <c r="B346" s="160"/>
      <c r="C346" s="295"/>
      <c r="D346" s="160"/>
    </row>
    <row r="347" spans="1:6" s="86" customFormat="1" x14ac:dyDescent="0.45">
      <c r="B347" s="295"/>
      <c r="C347" s="295"/>
      <c r="D347" s="295"/>
    </row>
    <row r="348" spans="1:6" s="86" customFormat="1" x14ac:dyDescent="0.45">
      <c r="B348" s="295"/>
      <c r="C348" s="295"/>
      <c r="D348" s="295"/>
    </row>
    <row r="349" spans="1:6" s="86" customFormat="1" x14ac:dyDescent="0.45">
      <c r="B349" s="295"/>
      <c r="C349" s="295"/>
      <c r="D349" s="295"/>
    </row>
    <row r="350" spans="1:6" s="86" customFormat="1" x14ac:dyDescent="0.45">
      <c r="B350" s="295"/>
      <c r="C350" s="295"/>
      <c r="D350" s="295"/>
    </row>
    <row r="351" spans="1:6" s="86" customFormat="1" x14ac:dyDescent="0.45">
      <c r="B351" s="295"/>
      <c r="C351" s="295"/>
      <c r="D351" s="295"/>
    </row>
    <row r="352" spans="1:6" s="86" customFormat="1" x14ac:dyDescent="0.45">
      <c r="B352" s="295"/>
      <c r="C352" s="295"/>
      <c r="D352" s="295"/>
    </row>
    <row r="353" spans="2:4" s="86" customFormat="1" x14ac:dyDescent="0.45">
      <c r="B353" s="295"/>
      <c r="C353" s="295"/>
      <c r="D353" s="295"/>
    </row>
    <row r="354" spans="2:4" s="86" customFormat="1" x14ac:dyDescent="0.45"/>
    <row r="355" spans="2:4" s="86" customFormat="1" x14ac:dyDescent="0.45"/>
    <row r="356" spans="2:4" s="86" customFormat="1" x14ac:dyDescent="0.45"/>
    <row r="357" spans="2:4" s="86" customFormat="1" x14ac:dyDescent="0.45"/>
    <row r="358" spans="2:4" s="86" customFormat="1" x14ac:dyDescent="0.45"/>
    <row r="359" spans="2:4" s="86" customFormat="1" x14ac:dyDescent="0.45"/>
    <row r="360" spans="2:4" s="86" customFormat="1" x14ac:dyDescent="0.45"/>
  </sheetData>
  <sheetProtection sheet="1" selectLockedCells="1"/>
  <mergeCells count="4">
    <mergeCell ref="A15:B19"/>
    <mergeCell ref="A164:B166"/>
    <mergeCell ref="A230:B235"/>
    <mergeCell ref="A274:B280"/>
  </mergeCells>
  <pageMargins left="0.7" right="0.7" top="0.75" bottom="0.75" header="0.3" footer="0.3"/>
  <pageSetup paperSize="9" scale="15" fitToHeight="0" orientation="portrait" r:id="rId1"/>
  <rowBreaks count="1" manualBreakCount="1">
    <brk id="227"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20">
    <tabColor rgb="FF7030A0"/>
    <pageSetUpPr fitToPage="1"/>
  </sheetPr>
  <dimension ref="A1:AO347"/>
  <sheetViews>
    <sheetView view="pageLayout" topLeftCell="A112" zoomScale="66" zoomScaleNormal="80" zoomScalePageLayoutView="66" workbookViewId="0">
      <selection activeCell="A152" sqref="A152"/>
    </sheetView>
  </sheetViews>
  <sheetFormatPr defaultColWidth="9" defaultRowHeight="14.25" outlineLevelRow="1" outlineLevelCol="1" x14ac:dyDescent="0.45"/>
  <cols>
    <col min="1" max="1" width="63.3984375" style="74" customWidth="1"/>
    <col min="2" max="2" width="62.3984375" style="74" customWidth="1"/>
    <col min="3" max="3" width="41.73046875" style="74" customWidth="1" outlineLevel="1"/>
    <col min="4" max="10" width="9" style="74" customWidth="1" outlineLevel="1"/>
    <col min="11" max="13" width="9" style="74"/>
    <col min="14" max="17" width="9" style="86"/>
    <col min="18" max="18" width="49.265625" style="86" customWidth="1"/>
    <col min="19" max="19" width="85.73046875" style="86" bestFit="1" customWidth="1"/>
    <col min="20" max="20" width="102.265625" style="86" bestFit="1" customWidth="1"/>
    <col min="21" max="21" width="22.265625" style="86" customWidth="1"/>
    <col min="22" max="22" width="21.73046875" style="86" customWidth="1"/>
    <col min="23" max="23" width="35" style="86" customWidth="1"/>
    <col min="24" max="24" width="28.3984375" style="86" customWidth="1"/>
    <col min="25" max="25" width="32" style="86" customWidth="1"/>
    <col min="26" max="26" width="9" style="86" customWidth="1"/>
    <col min="27" max="27" width="25.73046875" style="86" customWidth="1"/>
    <col min="28" max="28" width="33.59765625" style="74" customWidth="1"/>
    <col min="29" max="16384" width="9" style="74"/>
  </cols>
  <sheetData>
    <row r="1" spans="1:41" ht="31.5" customHeight="1" x14ac:dyDescent="0.7">
      <c r="A1" s="72" t="s">
        <v>222</v>
      </c>
      <c r="N1" s="295"/>
      <c r="O1" s="295"/>
      <c r="P1" s="295"/>
      <c r="Q1" s="295"/>
      <c r="R1" s="295"/>
      <c r="S1" s="295"/>
      <c r="T1" s="295"/>
      <c r="U1" s="295"/>
      <c r="V1" s="295"/>
      <c r="W1" s="295"/>
      <c r="X1" s="295"/>
      <c r="Y1" s="295"/>
      <c r="Z1" s="295"/>
      <c r="AA1" s="295"/>
    </row>
    <row r="2" spans="1:41" ht="15" customHeight="1" thickBot="1" x14ac:dyDescent="0.5">
      <c r="N2" s="295"/>
      <c r="O2" s="295"/>
      <c r="P2" s="295"/>
      <c r="Q2" s="295"/>
      <c r="R2" s="295"/>
      <c r="S2" s="295"/>
      <c r="T2" s="295"/>
      <c r="U2" s="295"/>
      <c r="V2" s="295"/>
      <c r="W2" s="295"/>
      <c r="X2" s="295"/>
      <c r="Y2" s="295"/>
      <c r="Z2" s="295"/>
      <c r="AA2" s="295"/>
    </row>
    <row r="3" spans="1:41" ht="14.65" thickBot="1" x14ac:dyDescent="0.5">
      <c r="A3" s="74" t="s">
        <v>198</v>
      </c>
      <c r="N3" s="295"/>
      <c r="O3" s="295"/>
      <c r="P3" s="295"/>
      <c r="Q3" s="295"/>
      <c r="R3" s="149" t="str">
        <f>Arbejdsark!A1</f>
        <v>Emne</v>
      </c>
      <c r="S3" s="150" t="str">
        <f>Arbejdsark!C1</f>
        <v>Tema</v>
      </c>
      <c r="T3" s="150" t="str">
        <f>Arbejdsark!D1</f>
        <v>DGNB kriterium</v>
      </c>
      <c r="U3" s="151" t="s">
        <v>199</v>
      </c>
      <c r="V3" s="152" t="s">
        <v>200</v>
      </c>
      <c r="W3" s="150" t="s">
        <v>201</v>
      </c>
      <c r="X3" s="153" t="s">
        <v>202</v>
      </c>
      <c r="Y3" s="150" t="str">
        <f>Arbejdsark!N1</f>
        <v xml:space="preserve">Resultat jf. dialogark </v>
      </c>
      <c r="Z3" s="295"/>
      <c r="AA3" s="295"/>
    </row>
    <row r="4" spans="1:41" ht="14.65" thickBot="1" x14ac:dyDescent="0.5">
      <c r="C4" s="10"/>
      <c r="D4" s="10"/>
      <c r="E4" s="10"/>
      <c r="F4" s="10"/>
      <c r="G4" s="10"/>
      <c r="H4" s="10"/>
      <c r="I4" s="10"/>
      <c r="J4" s="10"/>
      <c r="K4" s="10"/>
      <c r="L4" s="10"/>
      <c r="M4" s="10"/>
      <c r="N4" s="154"/>
      <c r="O4" s="154"/>
      <c r="P4" s="154"/>
      <c r="Q4" s="154"/>
      <c r="R4" s="155" t="str">
        <f>Arbejdsark!A2</f>
        <v>MILJØ KVALITET</v>
      </c>
      <c r="S4" s="156"/>
      <c r="T4" s="156"/>
      <c r="U4" s="157">
        <f>SUM(U5,U10,U14,U19,U22,U25)</f>
        <v>0.22297740963855422</v>
      </c>
      <c r="V4" s="157">
        <f>SUM(V5,V10,V14,V19,V22,V25)</f>
        <v>0</v>
      </c>
      <c r="W4" s="157">
        <f>SUM(W5,W10,W14,W19,W22,W25)</f>
        <v>0</v>
      </c>
      <c r="X4" s="158">
        <f>SUM(X5,X10,X14,X19,X22,X25)</f>
        <v>0</v>
      </c>
      <c r="Y4" s="159"/>
      <c r="Z4" s="295"/>
      <c r="AA4" s="295"/>
      <c r="AD4" s="28"/>
      <c r="AE4" s="28"/>
      <c r="AF4" s="28"/>
      <c r="AG4" s="28"/>
      <c r="AH4" s="28"/>
    </row>
    <row r="5" spans="1:41" ht="15" customHeight="1" x14ac:dyDescent="0.45">
      <c r="C5" s="10"/>
      <c r="D5" s="10"/>
      <c r="E5" s="10"/>
      <c r="F5" s="10"/>
      <c r="G5" s="10"/>
      <c r="H5" s="10"/>
      <c r="I5" s="10"/>
      <c r="J5" s="10"/>
      <c r="K5" s="10"/>
      <c r="L5" s="10"/>
      <c r="M5" s="10"/>
      <c r="N5" s="154"/>
      <c r="O5" s="154"/>
      <c r="P5" s="154"/>
      <c r="Q5" s="154"/>
      <c r="R5" s="161" t="str">
        <f>Arbejdsark!A4</f>
        <v>Materialer</v>
      </c>
      <c r="S5" s="162"/>
      <c r="T5" s="162"/>
      <c r="U5" s="163">
        <f>SUM(U6:U8)</f>
        <v>9.4500000000000015E-2</v>
      </c>
      <c r="V5" s="163">
        <f>SUM(V6:V8)</f>
        <v>0</v>
      </c>
      <c r="W5" s="163">
        <f>SUM(W6:W8)</f>
        <v>0</v>
      </c>
      <c r="X5" s="164">
        <f>SUM(X6:X8)</f>
        <v>0</v>
      </c>
      <c r="Y5" s="163">
        <f>SUM(Y6:Y8)</f>
        <v>0</v>
      </c>
      <c r="Z5" s="295"/>
      <c r="AA5" s="295"/>
      <c r="AD5" s="28"/>
      <c r="AE5" s="28"/>
      <c r="AF5" s="28"/>
      <c r="AI5" s="28"/>
      <c r="AL5" s="28"/>
      <c r="AO5" s="28"/>
    </row>
    <row r="6" spans="1:41" ht="15" customHeight="1" x14ac:dyDescent="0.45">
      <c r="N6" s="295"/>
      <c r="O6" s="295"/>
      <c r="P6" s="295"/>
      <c r="Q6" s="295"/>
      <c r="R6" s="165"/>
      <c r="S6" s="166" t="str">
        <f>Arbejdsark!C10</f>
        <v xml:space="preserve">Giftige stoffer </v>
      </c>
      <c r="T6" s="166" t="str">
        <f>Arbejdsark!D10</f>
        <v>ENV1.2</v>
      </c>
      <c r="U6" s="167">
        <f>Arbejdsark!E10</f>
        <v>3.3750000000000002E-2</v>
      </c>
      <c r="V6" s="168">
        <f>Y6*U6</f>
        <v>0</v>
      </c>
      <c r="W6" s="167">
        <f>IF(Projektforudsætninger!$B$14="Ja",Arbejdsark!R10,0%)</f>
        <v>0</v>
      </c>
      <c r="X6" s="169">
        <f>Y6*W6</f>
        <v>0</v>
      </c>
      <c r="Y6" s="170">
        <f>IF(Arbejdsark!N10=Arbejdsark!L11,Arbejdsark!M11,IF(Arbejdsark!N10=Arbejdsark!L12,Arbejdsark!M12,IF(Arbejdsark!N10=Arbejdsark!L13,Arbejdsark!M13,0)))</f>
        <v>0</v>
      </c>
      <c r="Z6" s="295"/>
      <c r="AA6" s="295"/>
    </row>
    <row r="7" spans="1:41" ht="15" customHeight="1" x14ac:dyDescent="0.45">
      <c r="N7" s="295"/>
      <c r="O7" s="295"/>
      <c r="P7" s="295"/>
      <c r="Q7" s="295"/>
      <c r="R7" s="165"/>
      <c r="S7" s="166" t="str">
        <f>Arbejdsark!C15</f>
        <v>Ansvarlig fremskaffelse af produkter</v>
      </c>
      <c r="T7" s="166" t="str">
        <f>Arbejdsark!D15</f>
        <v>ENV1.3</v>
      </c>
      <c r="U7" s="167">
        <f>Arbejdsark!E15</f>
        <v>1.1250000000000001E-2</v>
      </c>
      <c r="V7" s="168">
        <f>Y7*U7</f>
        <v>0</v>
      </c>
      <c r="W7" s="167">
        <f>IF(Projektforudsætninger!$B$14="Ja",Arbejdsark!R15,0%)</f>
        <v>0</v>
      </c>
      <c r="X7" s="169">
        <f>Y7*W7</f>
        <v>0</v>
      </c>
      <c r="Y7" s="170">
        <f>IF(Arbejdsark!N15=Arbejdsark!L16,Arbejdsark!M16,IF(Arbejdsark!N15=Arbejdsark!L17,Arbejdsark!M17,IF(Arbejdsark!N15=Arbejdsark!L18,Arbejdsark!M18,0)))</f>
        <v>0</v>
      </c>
      <c r="Z7" s="295"/>
      <c r="AA7" s="295"/>
    </row>
    <row r="8" spans="1:41" ht="15" customHeight="1" x14ac:dyDescent="0.45">
      <c r="N8" s="295"/>
      <c r="O8" s="295"/>
      <c r="P8" s="295"/>
      <c r="Q8" s="295"/>
      <c r="R8" s="165"/>
      <c r="S8" s="166" t="str">
        <f>Arbejdsark!C20</f>
        <v>Miljøbelastning</v>
      </c>
      <c r="T8" s="166" t="str">
        <f>Arbejdsark!D20</f>
        <v>ENV1.1 + ENV2.1
Vægtning: 40% af summen af ENV1.1 + ENV2.1 pkt. 1 og 2</v>
      </c>
      <c r="U8" s="167">
        <f>Arbejdsark!E20</f>
        <v>4.9500000000000009E-2</v>
      </c>
      <c r="V8" s="168">
        <f>Y8*U8</f>
        <v>0</v>
      </c>
      <c r="W8" s="167">
        <f>IF(Projektforudsætninger!$B$14="Ja",Arbejdsark!R20,0%)</f>
        <v>0</v>
      </c>
      <c r="X8" s="169">
        <f>Y8*W8</f>
        <v>0</v>
      </c>
      <c r="Y8" s="170">
        <f>IF(Arbejdsark!N20=Arbejdsark!L21,Arbejdsark!M21,IF(Arbejdsark!N20=Arbejdsark!L22,Arbejdsark!M22,IF(Arbejdsark!N20=Arbejdsark!L23,Arbejdsark!M23,0)))</f>
        <v>0</v>
      </c>
      <c r="Z8" s="295"/>
      <c r="AA8" s="295"/>
    </row>
    <row r="9" spans="1:41" ht="15" customHeight="1" collapsed="1" x14ac:dyDescent="0.45">
      <c r="N9" s="295"/>
      <c r="O9" s="295"/>
      <c r="P9" s="295"/>
      <c r="Q9" s="295"/>
      <c r="R9" s="165"/>
      <c r="S9" s="171"/>
      <c r="T9" s="171"/>
      <c r="U9" s="172"/>
      <c r="V9" s="168"/>
      <c r="W9" s="172"/>
      <c r="X9" s="169"/>
      <c r="Y9" s="173"/>
      <c r="Z9" s="295"/>
      <c r="AA9" s="295"/>
      <c r="AD9" s="28"/>
      <c r="AE9" s="28"/>
      <c r="AF9" s="28"/>
      <c r="AG9" s="28"/>
      <c r="AH9" s="28"/>
      <c r="AI9" s="28"/>
      <c r="AJ9" s="28"/>
      <c r="AL9" s="28"/>
      <c r="AO9" s="28"/>
    </row>
    <row r="10" spans="1:41" ht="15" customHeight="1" thickBot="1" x14ac:dyDescent="0.55000000000000004">
      <c r="A10" s="75" t="s">
        <v>223</v>
      </c>
      <c r="B10" s="73"/>
      <c r="C10" s="73"/>
      <c r="D10" s="73"/>
      <c r="E10" s="73"/>
      <c r="F10" s="73"/>
      <c r="G10" s="73"/>
      <c r="H10" s="73"/>
      <c r="I10" s="73"/>
      <c r="J10" s="73"/>
      <c r="N10" s="295"/>
      <c r="O10" s="295"/>
      <c r="P10" s="295"/>
      <c r="Q10" s="295"/>
      <c r="R10" s="174" t="str">
        <f>Arbejdsark!A25</f>
        <v>Energi</v>
      </c>
      <c r="S10" s="175"/>
      <c r="T10" s="175"/>
      <c r="U10" s="176">
        <f>SUM(U11:U12)</f>
        <v>8.5500000000000007E-2</v>
      </c>
      <c r="V10" s="176">
        <f>SUM(V11:V12)</f>
        <v>0</v>
      </c>
      <c r="W10" s="176">
        <f>SUM(W11:W12)</f>
        <v>0</v>
      </c>
      <c r="X10" s="177">
        <f>SUM(X11:X12)</f>
        <v>0</v>
      </c>
      <c r="Y10" s="176">
        <f>SUM(Y11:Y12)</f>
        <v>0</v>
      </c>
      <c r="Z10" s="295"/>
      <c r="AA10" s="295"/>
      <c r="AD10" s="28"/>
      <c r="AE10" s="28"/>
      <c r="AF10" s="28"/>
      <c r="AI10" s="28"/>
      <c r="AL10" s="28"/>
      <c r="AO10" s="28"/>
    </row>
    <row r="11" spans="1:41" ht="15" customHeight="1" outlineLevel="1" x14ac:dyDescent="0.45">
      <c r="N11" s="295"/>
      <c r="O11" s="295"/>
      <c r="P11" s="295"/>
      <c r="Q11" s="295"/>
      <c r="R11" s="178"/>
      <c r="S11" s="166" t="str">
        <f>Arbejdsark!C25</f>
        <v>Andel af vedvarende energi</v>
      </c>
      <c r="T11" s="166" t="str">
        <f>Arbejdsark!D25</f>
        <v>ENV2.1
Vægtning: ENV2.1 pkt. 3</v>
      </c>
      <c r="U11" s="167">
        <f>Arbejdsark!E25</f>
        <v>1.1250000000000001E-2</v>
      </c>
      <c r="V11" s="168">
        <f>Y11*U11</f>
        <v>0</v>
      </c>
      <c r="W11" s="167">
        <f>IF(Projektforudsætninger!$B$14="Ja",Arbejdsark!R25,0%)</f>
        <v>0</v>
      </c>
      <c r="X11" s="169">
        <f>Y11*W11</f>
        <v>0</v>
      </c>
      <c r="Y11" s="170">
        <f>IF(Arbejdsark!N25=Arbejdsark!L26,Arbejdsark!M26,IF(Arbejdsark!N25=Arbejdsark!L27,Arbejdsark!M27,IF(Arbejdsark!N25=Arbejdsark!L28,Arbejdsark!M28,0)))</f>
        <v>0</v>
      </c>
      <c r="Z11" s="295"/>
      <c r="AA11" s="295"/>
    </row>
    <row r="12" spans="1:41" ht="15" customHeight="1" outlineLevel="1" x14ac:dyDescent="0.45">
      <c r="A12" s="799" t="s">
        <v>224</v>
      </c>
      <c r="B12" s="799"/>
      <c r="N12" s="295"/>
      <c r="O12" s="295"/>
      <c r="P12" s="295"/>
      <c r="Q12" s="295"/>
      <c r="R12" s="179"/>
      <c r="S12" s="166" t="str">
        <f>Arbejdsark!C30</f>
        <v>Krav til energiramme</v>
      </c>
      <c r="T12" s="166" t="str">
        <f>Arbejdsark!D30</f>
        <v>ENV1.1 + ENV2.1
Vægtning: 60% af summen af ENV1.1 + ENV2.1 pkt 1 og 2</v>
      </c>
      <c r="U12" s="167">
        <f>Arbejdsark!E30</f>
        <v>7.425000000000001E-2</v>
      </c>
      <c r="V12" s="168">
        <f>Y12*U12</f>
        <v>0</v>
      </c>
      <c r="W12" s="167">
        <f>IF(Projektforudsætninger!$B$14="Ja",Arbejdsark!R30,0%)</f>
        <v>0</v>
      </c>
      <c r="X12" s="169">
        <f>Y12*W12</f>
        <v>0</v>
      </c>
      <c r="Y12" s="170">
        <f>IF(Arbejdsark!N30=Arbejdsark!L31,Arbejdsark!M31,IF(Arbejdsark!N30=Arbejdsark!L32,Arbejdsark!M32,IF(Arbejdsark!N30=Arbejdsark!L33,Arbejdsark!M33,0)))</f>
        <v>0</v>
      </c>
      <c r="Z12" s="295"/>
      <c r="AA12" s="295"/>
    </row>
    <row r="13" spans="1:41" ht="15" customHeight="1" outlineLevel="1" collapsed="1" x14ac:dyDescent="0.45">
      <c r="A13" s="799"/>
      <c r="B13" s="799"/>
      <c r="N13" s="295"/>
      <c r="O13" s="295"/>
      <c r="P13" s="295"/>
      <c r="Q13" s="295"/>
      <c r="R13" s="179"/>
      <c r="S13" s="166"/>
      <c r="T13" s="166"/>
      <c r="U13" s="167"/>
      <c r="V13" s="168"/>
      <c r="W13" s="167"/>
      <c r="X13" s="169"/>
      <c r="Y13" s="170"/>
      <c r="Z13" s="295"/>
      <c r="AA13" s="295"/>
      <c r="AD13" s="28"/>
      <c r="AE13" s="28"/>
      <c r="AF13" s="28"/>
      <c r="AG13" s="28"/>
      <c r="AH13" s="28"/>
      <c r="AI13" s="28"/>
      <c r="AJ13" s="28"/>
      <c r="AO13" s="28"/>
    </row>
    <row r="14" spans="1:41" ht="15" customHeight="1" outlineLevel="1" x14ac:dyDescent="0.45">
      <c r="A14" s="799"/>
      <c r="B14" s="799"/>
      <c r="N14" s="295"/>
      <c r="O14" s="295"/>
      <c r="P14" s="295"/>
      <c r="Q14" s="295"/>
      <c r="R14" s="174" t="str">
        <f>Arbejdsark!A35</f>
        <v>Vand</v>
      </c>
      <c r="S14" s="175"/>
      <c r="T14" s="175"/>
      <c r="U14" s="176">
        <f>SUM(U15:U17)</f>
        <v>2.2500000000000003E-2</v>
      </c>
      <c r="V14" s="176">
        <f>SUM(V15:V17)</f>
        <v>0</v>
      </c>
      <c r="W14" s="176">
        <f>SUM(W15:W17)</f>
        <v>0</v>
      </c>
      <c r="X14" s="177">
        <f>SUM(X15:X17)</f>
        <v>0</v>
      </c>
      <c r="Y14" s="176">
        <f>SUM(Y15:Y17)</f>
        <v>0</v>
      </c>
      <c r="Z14" s="295"/>
      <c r="AA14" s="295"/>
      <c r="AC14" s="28"/>
      <c r="AI14" s="28"/>
      <c r="AO14" s="28"/>
    </row>
    <row r="15" spans="1:41" ht="15" customHeight="1" outlineLevel="1" x14ac:dyDescent="0.45">
      <c r="A15" s="799"/>
      <c r="B15" s="799"/>
      <c r="N15" s="295"/>
      <c r="O15" s="295"/>
      <c r="P15" s="295"/>
      <c r="Q15" s="295"/>
      <c r="R15" s="178"/>
      <c r="S15" s="166" t="str">
        <f>Arbejdsark!C35</f>
        <v>Installationer</v>
      </c>
      <c r="T15" s="166" t="str">
        <f>Arbejdsark!D35</f>
        <v>ENV2.2
Vægtning: 20% af ENV2.2</v>
      </c>
      <c r="U15" s="167">
        <f>Arbejdsark!E35</f>
        <v>4.5000000000000005E-3</v>
      </c>
      <c r="V15" s="168">
        <f>Y15*U15</f>
        <v>0</v>
      </c>
      <c r="W15" s="167">
        <f>IF(Projektforudsætninger!$B$14="Ja",Arbejdsark!R35,0%)</f>
        <v>0</v>
      </c>
      <c r="X15" s="169">
        <f>Y15*W15</f>
        <v>0</v>
      </c>
      <c r="Y15" s="170">
        <f>IF(Arbejdsark!N35=Arbejdsark!L36,Arbejdsark!M36,IF(Arbejdsark!N35=Arbejdsark!L37,Arbejdsark!M37,IF(Arbejdsark!N35=Arbejdsark!L38,Arbejdsark!M38,0)))</f>
        <v>0</v>
      </c>
      <c r="Z15" s="295"/>
      <c r="AA15" s="295"/>
    </row>
    <row r="16" spans="1:41" ht="15" customHeight="1" outlineLevel="1" x14ac:dyDescent="0.45">
      <c r="A16" s="799"/>
      <c r="B16" s="799"/>
      <c r="N16" s="295"/>
      <c r="O16" s="295"/>
      <c r="P16" s="295"/>
      <c r="Q16" s="295"/>
      <c r="R16" s="179"/>
      <c r="S16" s="166" t="str">
        <f>Arbejdsark!C40</f>
        <v>Spildevand</v>
      </c>
      <c r="T16" s="166" t="str">
        <f>Arbejdsark!D40</f>
        <v>ENV2.2
Vægtning: 20% af ENV2.2</v>
      </c>
      <c r="U16" s="167">
        <f>Arbejdsark!E40</f>
        <v>4.5000000000000005E-3</v>
      </c>
      <c r="V16" s="168">
        <f>Y16*U16</f>
        <v>0</v>
      </c>
      <c r="W16" s="167">
        <f>IF(Projektforudsætninger!$B$14="Ja",Arbejdsark!R40,0%)</f>
        <v>0</v>
      </c>
      <c r="X16" s="169">
        <f>Y16*W16</f>
        <v>0</v>
      </c>
      <c r="Y16" s="170">
        <f>IF(Arbejdsark!N40=Arbejdsark!L41,Arbejdsark!M41,IF(Arbejdsark!N40=Arbejdsark!L42,Arbejdsark!M42,IF(Arbejdsark!N40=Arbejdsark!L43,Arbejdsark!M43,0)))</f>
        <v>0</v>
      </c>
      <c r="Z16" s="295"/>
      <c r="AA16" s="295"/>
    </row>
    <row r="17" spans="1:41" ht="15" customHeight="1" outlineLevel="1" x14ac:dyDescent="0.45">
      <c r="A17" s="799"/>
      <c r="B17" s="799"/>
      <c r="N17" s="295"/>
      <c r="O17" s="295"/>
      <c r="P17" s="295"/>
      <c r="Q17" s="295"/>
      <c r="R17" s="179"/>
      <c r="S17" s="166" t="str">
        <f>Arbejdsark!C45</f>
        <v>Nedbør</v>
      </c>
      <c r="T17" s="166" t="str">
        <f>Arbejdsark!D45</f>
        <v>ENV2.2
Vægtning: 60% af ENV2.2</v>
      </c>
      <c r="U17" s="167">
        <f>Arbejdsark!E45</f>
        <v>1.3500000000000002E-2</v>
      </c>
      <c r="V17" s="168">
        <f>Y17*U17</f>
        <v>0</v>
      </c>
      <c r="W17" s="167">
        <f>IF(Projektforudsætninger!$B$14="Ja",Arbejdsark!R45,0%)</f>
        <v>0</v>
      </c>
      <c r="X17" s="169">
        <f>Y17*W17</f>
        <v>0</v>
      </c>
      <c r="Y17" s="170">
        <f>IF(Arbejdsark!N45=Arbejdsark!L46,Arbejdsark!M46,IF(Arbejdsark!N45=Arbejdsark!L47,Arbejdsark!M47,IF(Arbejdsark!N45=Arbejdsark!L48,Arbejdsark!M48,0)))</f>
        <v>0</v>
      </c>
      <c r="Z17" s="295"/>
      <c r="AA17" s="295"/>
    </row>
    <row r="18" spans="1:41" ht="15" customHeight="1" outlineLevel="1" collapsed="1" x14ac:dyDescent="0.45">
      <c r="A18" s="799"/>
      <c r="B18" s="799"/>
      <c r="N18" s="295"/>
      <c r="O18" s="295"/>
      <c r="P18" s="295"/>
      <c r="Q18" s="295"/>
      <c r="R18" s="179"/>
      <c r="S18" s="166"/>
      <c r="T18" s="166"/>
      <c r="U18" s="167"/>
      <c r="V18" s="168"/>
      <c r="W18" s="167"/>
      <c r="X18" s="169"/>
      <c r="Y18" s="170"/>
      <c r="Z18" s="295"/>
      <c r="AA18" s="295"/>
      <c r="AC18" s="28"/>
      <c r="AI18" s="28"/>
      <c r="AO18" s="28"/>
    </row>
    <row r="19" spans="1:41" ht="15" customHeight="1" outlineLevel="1" x14ac:dyDescent="0.45">
      <c r="A19" s="297"/>
      <c r="B19" s="297"/>
      <c r="N19" s="295"/>
      <c r="O19" s="295"/>
      <c r="P19" s="295"/>
      <c r="Q19" s="295"/>
      <c r="R19" s="174" t="str">
        <f>Arbejdsark!A51</f>
        <v>Beplantning</v>
      </c>
      <c r="S19" s="175"/>
      <c r="T19" s="175"/>
      <c r="U19" s="176">
        <f>SUM(U20:U20)</f>
        <v>1.352409638554217E-3</v>
      </c>
      <c r="V19" s="176">
        <f>SUM(V20:V20)</f>
        <v>0</v>
      </c>
      <c r="W19" s="176">
        <f>SUM(W20:W20)</f>
        <v>0</v>
      </c>
      <c r="X19" s="177">
        <f>SUM(X20:X20)</f>
        <v>0</v>
      </c>
      <c r="Y19" s="176">
        <f>SUM(Y20:Y20)</f>
        <v>0</v>
      </c>
      <c r="Z19" s="295"/>
      <c r="AA19" s="295"/>
      <c r="AI19" s="28"/>
      <c r="AO19" s="28"/>
    </row>
    <row r="20" spans="1:41" ht="15" customHeight="1" outlineLevel="1" x14ac:dyDescent="0.45">
      <c r="N20" s="295"/>
      <c r="O20" s="295"/>
      <c r="P20" s="295"/>
      <c r="Q20" s="295"/>
      <c r="R20" s="178"/>
      <c r="S20" s="166" t="str">
        <f>Arbejdsark!C51</f>
        <v>Plantearter</v>
      </c>
      <c r="T20" s="166" t="str">
        <f>Arbejdsark!D51</f>
        <v>ENV2.3 + SOC1.6
Vægtning: ENV2.3 pkt. 2.2 + SOC1.6 pkt. 2.3</v>
      </c>
      <c r="U20" s="167">
        <f>Arbejdsark!E51*2/3</f>
        <v>1.352409638554217E-3</v>
      </c>
      <c r="V20" s="168">
        <f>Y20*U20</f>
        <v>0</v>
      </c>
      <c r="W20" s="167">
        <f>IF(Projektforudsætninger!$B$14="Ja",Arbejdsark!R51*2/3,0%)</f>
        <v>0</v>
      </c>
      <c r="X20" s="167">
        <f>Y20*W20</f>
        <v>0</v>
      </c>
      <c r="Y20" s="208">
        <f>IF(Arbejdsark!N51=Arbejdsark!L52,Arbejdsark!M52,IF(Arbejdsark!N51=Arbejdsark!L53,Arbejdsark!M53,IF(Arbejdsark!N51=Arbejdsark!L54,Arbejdsark!M54,0)))</f>
        <v>0</v>
      </c>
      <c r="Z20" s="295"/>
      <c r="AA20" s="295"/>
    </row>
    <row r="21" spans="1:41" ht="15" customHeight="1" outlineLevel="1" collapsed="1" thickBot="1" x14ac:dyDescent="0.5">
      <c r="A21" s="34"/>
      <c r="B21" s="34"/>
      <c r="C21" s="34"/>
      <c r="D21" s="34"/>
      <c r="E21" s="34"/>
      <c r="F21" s="34"/>
      <c r="G21" s="34"/>
      <c r="H21" s="34"/>
      <c r="I21" s="34"/>
      <c r="J21" s="34"/>
      <c r="K21" s="34"/>
      <c r="L21" s="34"/>
      <c r="M21" s="34"/>
      <c r="N21" s="99"/>
      <c r="O21" s="99"/>
      <c r="P21" s="99"/>
      <c r="Q21" s="99"/>
      <c r="R21" s="179"/>
      <c r="S21" s="166"/>
      <c r="T21" s="166"/>
      <c r="U21" s="167"/>
      <c r="V21" s="168"/>
      <c r="W21" s="167"/>
      <c r="X21" s="167"/>
      <c r="Y21" s="208"/>
      <c r="Z21" s="186"/>
      <c r="AA21" s="295"/>
      <c r="AI21" s="28"/>
      <c r="AO21" s="28"/>
    </row>
    <row r="22" spans="1:41" ht="15" customHeight="1" outlineLevel="1" x14ac:dyDescent="0.45">
      <c r="N22" s="295"/>
      <c r="O22" s="295"/>
      <c r="P22" s="295"/>
      <c r="Q22" s="295"/>
      <c r="R22" s="174" t="str">
        <f>Arbejdsark!A73</f>
        <v>Bebyggelsestæthed</v>
      </c>
      <c r="S22" s="175"/>
      <c r="T22" s="175"/>
      <c r="U22" s="176">
        <f>SUM(U23)</f>
        <v>4.5000000000000005E-3</v>
      </c>
      <c r="V22" s="176">
        <f>SUM(V23)</f>
        <v>0</v>
      </c>
      <c r="W22" s="176">
        <f>SUM(W23)</f>
        <v>0</v>
      </c>
      <c r="X22" s="176">
        <f>SUM(X23)</f>
        <v>0</v>
      </c>
      <c r="Y22" s="177">
        <f>SUM(Y23)</f>
        <v>0</v>
      </c>
      <c r="Z22" s="295"/>
      <c r="AA22" s="295"/>
    </row>
    <row r="23" spans="1:41" ht="15" customHeight="1" outlineLevel="1" x14ac:dyDescent="0.45">
      <c r="N23" s="295"/>
      <c r="O23" s="295"/>
      <c r="P23" s="295"/>
      <c r="Q23" s="295"/>
      <c r="R23" s="178"/>
      <c r="S23" s="166" t="str">
        <f>Arbejdsark!C73</f>
        <v>Bebyggelsestæthed</v>
      </c>
      <c r="T23" s="166" t="str">
        <f>Arbejdsark!D73</f>
        <v>ENV2.3
Vægtning: ENV2.3 pkt. 1.2</v>
      </c>
      <c r="U23" s="167">
        <f>Arbejdsark!E73</f>
        <v>4.5000000000000005E-3</v>
      </c>
      <c r="V23" s="168">
        <f>Y23*U23</f>
        <v>0</v>
      </c>
      <c r="W23" s="167">
        <f>IF(Projektforudsætninger!$B$14="Ja",Arbejdsark!R73,0%)</f>
        <v>0</v>
      </c>
      <c r="X23" s="167">
        <f>Y23*W23</f>
        <v>0</v>
      </c>
      <c r="Y23" s="208">
        <f>IF(Arbejdsark!N73=Arbejdsark!L74,Arbejdsark!M74,IF(Arbejdsark!N73=Arbejdsark!L75,Arbejdsark!M75,IF(Arbejdsark!N73=Arbejdsark!L76,Arbejdsark!M76,0)))</f>
        <v>0</v>
      </c>
      <c r="Z23" s="295"/>
      <c r="AA23" s="295"/>
    </row>
    <row r="24" spans="1:41" ht="15" customHeight="1" outlineLevel="1" x14ac:dyDescent="0.45">
      <c r="N24" s="295"/>
      <c r="O24" s="295"/>
      <c r="P24" s="295"/>
      <c r="Q24" s="295"/>
      <c r="R24" s="179"/>
      <c r="S24" s="166"/>
      <c r="T24" s="166"/>
      <c r="U24" s="167"/>
      <c r="V24" s="168"/>
      <c r="W24" s="167"/>
      <c r="X24" s="169"/>
      <c r="Y24" s="170"/>
      <c r="Z24" s="295"/>
      <c r="AA24" s="295"/>
    </row>
    <row r="25" spans="1:41" ht="15" customHeight="1" outlineLevel="1" x14ac:dyDescent="0.45">
      <c r="N25" s="295"/>
      <c r="O25" s="295"/>
      <c r="P25" s="295"/>
      <c r="Q25" s="295"/>
      <c r="R25" s="174" t="str">
        <f>Arbejdsark!A78</f>
        <v>Forurening</v>
      </c>
      <c r="S25" s="175"/>
      <c r="T25" s="175"/>
      <c r="U25" s="176">
        <f>SUM(U26:U27)</f>
        <v>1.4625000000000003E-2</v>
      </c>
      <c r="V25" s="176">
        <f>SUM(V26:V27)</f>
        <v>0</v>
      </c>
      <c r="W25" s="176">
        <f>SUM(W26:W27)</f>
        <v>0</v>
      </c>
      <c r="X25" s="177">
        <f>SUM(X26:X27)</f>
        <v>0</v>
      </c>
      <c r="Y25" s="176">
        <f>SUM(Y26:Y27)</f>
        <v>0</v>
      </c>
      <c r="Z25" s="295"/>
      <c r="AA25" s="295"/>
    </row>
    <row r="26" spans="1:41" ht="15" customHeight="1" outlineLevel="1" x14ac:dyDescent="0.45">
      <c r="N26" s="295"/>
      <c r="O26" s="295"/>
      <c r="P26" s="295"/>
      <c r="Q26" s="295"/>
      <c r="R26" s="178"/>
      <c r="S26" s="166" t="str">
        <f>Arbejdsark!C78</f>
        <v>Jordforurening - håndtering</v>
      </c>
      <c r="T26" s="166" t="str">
        <f>Arbejdsark!D78</f>
        <v>ENV2.3
Vægtning: ENV2.3 pkt. 2.1 + 2.2+3</v>
      </c>
      <c r="U26" s="167">
        <f>Arbejdsark!E78</f>
        <v>1.0125000000000002E-2</v>
      </c>
      <c r="V26" s="168">
        <f>Y26*U26</f>
        <v>0</v>
      </c>
      <c r="W26" s="167">
        <f>IF(Projektforudsætninger!$B$14="Ja",Arbejdsark!R78,0%)</f>
        <v>0</v>
      </c>
      <c r="X26" s="169">
        <f>Y26*W26</f>
        <v>0</v>
      </c>
      <c r="Y26" s="170">
        <f>IF(Arbejdsark!N78=Arbejdsark!L79,Arbejdsark!M79,IF(Arbejdsark!N78=Arbejdsark!L80,Arbejdsark!M80,IF(Arbejdsark!N78=Arbejdsark!L81,Arbejdsark!M81,0)))</f>
        <v>0</v>
      </c>
      <c r="Z26" s="295"/>
      <c r="AA26" s="295"/>
    </row>
    <row r="27" spans="1:41" ht="15" customHeight="1" outlineLevel="1" x14ac:dyDescent="0.45">
      <c r="N27" s="295"/>
      <c r="O27" s="295"/>
      <c r="P27" s="295"/>
      <c r="Q27" s="295"/>
      <c r="R27" s="179"/>
      <c r="S27" s="166" t="str">
        <f>Arbejdsark!C84</f>
        <v>Valg af byggegrund</v>
      </c>
      <c r="T27" s="166" t="str">
        <f>Arbejdsark!D84</f>
        <v>ENV2.3
Vægtning: ENV2.3 pkt. 1.1</v>
      </c>
      <c r="U27" s="167">
        <f>Arbejdsark!E84</f>
        <v>4.5000000000000005E-3</v>
      </c>
      <c r="V27" s="168">
        <f>Y27*U27</f>
        <v>0</v>
      </c>
      <c r="W27" s="167">
        <f>IF(Projektforudsætninger!$B$14="Ja",Arbejdsark!R84,0%)</f>
        <v>0</v>
      </c>
      <c r="X27" s="169">
        <f>Y27*W27</f>
        <v>0</v>
      </c>
      <c r="Y27" s="170">
        <f>IF(Arbejdsark!N84=Arbejdsark!L85,Arbejdsark!M85,IF(Arbejdsark!N84=Arbejdsark!L86,Arbejdsark!M86,IF(Arbejdsark!N84=Arbejdsark!L87,Arbejdsark!M87,0)))</f>
        <v>0</v>
      </c>
      <c r="Z27" s="295"/>
      <c r="AA27" s="295"/>
    </row>
    <row r="28" spans="1:41" ht="15" customHeight="1" outlineLevel="1" thickBot="1" x14ac:dyDescent="0.5">
      <c r="N28" s="295"/>
      <c r="O28" s="295"/>
      <c r="P28" s="295"/>
      <c r="Q28" s="295"/>
      <c r="R28" s="187"/>
      <c r="S28" s="181"/>
      <c r="T28" s="181"/>
      <c r="U28" s="182"/>
      <c r="V28" s="183"/>
      <c r="W28" s="182"/>
      <c r="X28" s="184"/>
      <c r="Y28" s="185"/>
      <c r="Z28" s="295"/>
      <c r="AA28" s="295"/>
    </row>
    <row r="29" spans="1:41" ht="15" customHeight="1" outlineLevel="1" thickBot="1" x14ac:dyDescent="0.5">
      <c r="N29" s="295"/>
      <c r="O29" s="295"/>
      <c r="P29" s="295"/>
      <c r="Q29" s="295"/>
      <c r="R29" s="155" t="str">
        <f>Arbejdsark!A89</f>
        <v>ØKONOMISK  KVALITET</v>
      </c>
      <c r="S29" s="156"/>
      <c r="T29" s="156"/>
      <c r="U29" s="157">
        <f>SUM(U30,U35,U44)</f>
        <v>0.18658341669717987</v>
      </c>
      <c r="V29" s="157">
        <f>SUM(V30,V35,V44)</f>
        <v>0</v>
      </c>
      <c r="W29" s="157">
        <f>SUM(W30,W35,W44)</f>
        <v>0</v>
      </c>
      <c r="X29" s="158">
        <f>SUM(X30,X35,X44)</f>
        <v>0</v>
      </c>
      <c r="Y29" s="159"/>
      <c r="Z29" s="295"/>
      <c r="AA29" s="295"/>
    </row>
    <row r="30" spans="1:41" ht="15" customHeight="1" outlineLevel="1" x14ac:dyDescent="0.45">
      <c r="N30" s="295"/>
      <c r="O30" s="295"/>
      <c r="P30" s="295"/>
      <c r="Q30" s="295"/>
      <c r="R30" s="161" t="str">
        <f>Arbejdsark!A91</f>
        <v>Levetidsomkostninger</v>
      </c>
      <c r="S30" s="162"/>
      <c r="T30" s="162"/>
      <c r="U30" s="163">
        <f>SUM(U31:U33)</f>
        <v>0.1108695652173913</v>
      </c>
      <c r="V30" s="163">
        <f>SUM(V31:V33)</f>
        <v>0</v>
      </c>
      <c r="W30" s="163">
        <f>SUM(W31:W33)</f>
        <v>0</v>
      </c>
      <c r="X30" s="164">
        <f>SUM(X31:X33)</f>
        <v>0</v>
      </c>
      <c r="Y30" s="163">
        <f>SUM(Y31:Y33)</f>
        <v>0</v>
      </c>
      <c r="Z30" s="295"/>
      <c r="AA30" s="295"/>
    </row>
    <row r="31" spans="1:41" ht="15" customHeight="1" outlineLevel="1" x14ac:dyDescent="0.45">
      <c r="N31" s="295"/>
      <c r="O31" s="295"/>
      <c r="P31" s="295"/>
      <c r="Q31" s="295"/>
      <c r="R31" s="178"/>
      <c r="S31" s="166" t="str">
        <f>Arbejdsark!C91</f>
        <v>Holdbare byggematerialer</v>
      </c>
      <c r="T31" s="166" t="str">
        <f>Arbejdsark!D91</f>
        <v>ECO2.2
Vægtning: ECO2.2 pkt. 1.1 + 1.2 +1.3</v>
      </c>
      <c r="U31" s="167">
        <f>Arbejdsark!E91</f>
        <v>1.3043478260869565E-2</v>
      </c>
      <c r="V31" s="168">
        <f>Y31*U31</f>
        <v>0</v>
      </c>
      <c r="W31" s="167">
        <f>IF(Projektforudsætninger!$B$14="Ja",Arbejdsark!R91,0%)</f>
        <v>0</v>
      </c>
      <c r="X31" s="169">
        <f>Y31*W31</f>
        <v>0</v>
      </c>
      <c r="Y31" s="170">
        <f>IF(Arbejdsark!N91=Arbejdsark!L92,Arbejdsark!M92,IF(Arbejdsark!N91=Arbejdsark!L93,Arbejdsark!M93,IF(Arbejdsark!N91=Arbejdsark!L94,Arbejdsark!M94,0)))</f>
        <v>0</v>
      </c>
      <c r="Z31" s="295"/>
      <c r="AA31" s="295"/>
    </row>
    <row r="32" spans="1:41" ht="15" customHeight="1" outlineLevel="1" x14ac:dyDescent="0.45">
      <c r="N32" s="295"/>
      <c r="O32" s="295"/>
      <c r="P32" s="295"/>
      <c r="Q32" s="295"/>
      <c r="R32" s="178"/>
      <c r="S32" s="166" t="str">
        <f>Arbejdsark!C96</f>
        <v>Totaløkonomi</v>
      </c>
      <c r="T32" s="166" t="str">
        <f>Arbejdsark!D96</f>
        <v>ECO1.1
Vægtning: 87% af ECO1.1 (resten under renhold)</v>
      </c>
      <c r="U32" s="167">
        <f>Arbejdsark!E96</f>
        <v>8.510869565217391E-2</v>
      </c>
      <c r="V32" s="188">
        <f>Y32*U32</f>
        <v>0</v>
      </c>
      <c r="W32" s="167">
        <f>IF(Projektforudsætninger!$B$14="Ja",Arbejdsark!R96,0%)</f>
        <v>0</v>
      </c>
      <c r="X32" s="169">
        <f>Y32*W32</f>
        <v>0</v>
      </c>
      <c r="Y32" s="170">
        <f>IF(Projektforudsætninger!C38=Arbejdsark!L97,Arbejdsark!M97,IF(Projektforudsætninger!C38=Arbejdsark!L98,Arbejdsark!M98,IF(Projektforudsætninger!C38=Arbejdsark!L99,Arbejdsark!M99,IF(Projektforudsætninger!C38=Arbejdsark!L100,Arbejdsark!M100,IF(Projektforudsætninger!C38=Arbejdsark!L101,Arbejdsark!M101,IF(Projektforudsætninger!C38=Arbejdsark!L102,Arbejdsark!M102,IF(Projektforudsætninger!C38=Arbejdsark!L103,Arbejdsark!M103,IF(Projektforudsætninger!C38=Arbejdsark!L104,Arbejdsark!M104,IF(Projektforudsætninger!C38=Arbejdsark!L105,Arbejdsark!M105,IF(Projektforudsætninger!C38=Arbejdsark!L106,Arbejdsark!M106,IF(Projektforudsætninger!C38=Arbejdsark!L107,Arbejdsark!M107,0)))))))))))</f>
        <v>0</v>
      </c>
      <c r="Z32" s="295"/>
      <c r="AA32" s="295"/>
    </row>
    <row r="33" spans="18:25" ht="15" customHeight="1" outlineLevel="1" x14ac:dyDescent="0.45">
      <c r="R33" s="179"/>
      <c r="S33" s="166" t="str">
        <f>Arbejdsark!C109</f>
        <v>Renhold</v>
      </c>
      <c r="T33" s="166" t="str">
        <f>Arbejdsark!D109</f>
        <v>ECO1.1
Vægtning: 13% af ECO1.1</v>
      </c>
      <c r="U33" s="167">
        <f>Arbejdsark!E109</f>
        <v>1.2717391304347826E-2</v>
      </c>
      <c r="V33" s="168">
        <f>Y33*U33</f>
        <v>0</v>
      </c>
      <c r="W33" s="167">
        <f>IF(Projektforudsætninger!$B$14="Ja",Arbejdsark!R109,0%)</f>
        <v>0</v>
      </c>
      <c r="X33" s="169">
        <f>Y33*W33</f>
        <v>0</v>
      </c>
      <c r="Y33" s="170">
        <f>IF(Arbejdsark!N109=Arbejdsark!L110,Arbejdsark!M110,IF(Arbejdsark!N109=Arbejdsark!L111,Arbejdsark!M111,IF(Arbejdsark!N109=Arbejdsark!L112,Arbejdsark!M112,0)))</f>
        <v>0</v>
      </c>
    </row>
    <row r="34" spans="18:25" ht="15" customHeight="1" outlineLevel="1" x14ac:dyDescent="0.45">
      <c r="R34" s="179"/>
      <c r="S34" s="166"/>
      <c r="T34" s="166"/>
      <c r="U34" s="167"/>
      <c r="V34" s="168"/>
      <c r="W34" s="167"/>
      <c r="X34" s="169"/>
      <c r="Y34" s="170"/>
    </row>
    <row r="35" spans="18:25" ht="15" customHeight="1" outlineLevel="1" x14ac:dyDescent="0.45">
      <c r="R35" s="174" t="str">
        <f>Arbejdsark!A114</f>
        <v>Fleksibilitet</v>
      </c>
      <c r="S35" s="175"/>
      <c r="T35" s="175"/>
      <c r="U35" s="176">
        <f>SUM(U36:U42)</f>
        <v>6.1766758761087677E-2</v>
      </c>
      <c r="V35" s="176">
        <f>SUM(V36:V42)</f>
        <v>0</v>
      </c>
      <c r="W35" s="176">
        <f>SUM(W36:W42)</f>
        <v>0</v>
      </c>
      <c r="X35" s="177">
        <f>SUM(X36:X42)</f>
        <v>0</v>
      </c>
      <c r="Y35" s="176">
        <f>SUM(Y36:Y42)</f>
        <v>0</v>
      </c>
    </row>
    <row r="36" spans="18:25" ht="15" customHeight="1" outlineLevel="1" x14ac:dyDescent="0.45">
      <c r="R36" s="178"/>
      <c r="S36" s="166" t="str">
        <f>Arbejdsark!C114</f>
        <v>Rumhøjder</v>
      </c>
      <c r="T36" s="166" t="str">
        <f>Arbejdsark!D114</f>
        <v>ECO2.1
Vægtning: ECO2.1 pkt 2</v>
      </c>
      <c r="U36" s="167">
        <f>Arbejdsark!E114</f>
        <v>6.5217391304347823E-3</v>
      </c>
      <c r="V36" s="168">
        <f t="shared" ref="V36:V42" si="0">Y36*U36</f>
        <v>0</v>
      </c>
      <c r="W36" s="167">
        <f>IF(Projektforudsætninger!$B$14="Ja",Arbejdsark!R114,0%)</f>
        <v>0</v>
      </c>
      <c r="X36" s="169">
        <f t="shared" ref="X36:X42" si="1">Y36*W36</f>
        <v>0</v>
      </c>
      <c r="Y36" s="170">
        <f>IF(Arbejdsark!N114=Arbejdsark!L115,Arbejdsark!M115,IF(Arbejdsark!N114=Arbejdsark!L116,Arbejdsark!M116,IF(Arbejdsark!N114=Arbejdsark!L117,Arbejdsark!M117,0)))</f>
        <v>0</v>
      </c>
    </row>
    <row r="37" spans="18:25" ht="15" customHeight="1" outlineLevel="1" x14ac:dyDescent="0.45">
      <c r="R37" s="179"/>
      <c r="S37" s="166" t="str">
        <f>Arbejdsark!C119</f>
        <v>Bygningsdybde</v>
      </c>
      <c r="T37" s="166" t="str">
        <f>Arbejdsark!D119</f>
        <v>ECO2.1
Vægtning: ECO2.1 pkt. 3</v>
      </c>
      <c r="U37" s="167">
        <f>Arbejdsark!E119</f>
        <v>9.7826086956521747E-3</v>
      </c>
      <c r="V37" s="168">
        <f t="shared" si="0"/>
        <v>0</v>
      </c>
      <c r="W37" s="167">
        <f>IF(Projektforudsætninger!$B$14="Ja",Arbejdsark!R119,0%)</f>
        <v>0</v>
      </c>
      <c r="X37" s="169">
        <f t="shared" si="1"/>
        <v>0</v>
      </c>
      <c r="Y37" s="170">
        <f>IF(Arbejdsark!N119=Arbejdsark!L120,Arbejdsark!M120,IF(Arbejdsark!N119=Arbejdsark!L121,Arbejdsark!M121,IF(Arbejdsark!N119=Arbejdsark!L122,Arbejdsark!M122,0)))</f>
        <v>0</v>
      </c>
    </row>
    <row r="38" spans="18:25" ht="15" customHeight="1" outlineLevel="1" x14ac:dyDescent="0.45">
      <c r="R38" s="179"/>
      <c r="S38" s="166" t="str">
        <f>Arbejdsark!C124</f>
        <v>Nytteareal</v>
      </c>
      <c r="T38" s="166" t="str">
        <f>Arbejdsark!D124</f>
        <v>ECO2.1
Vægtning: ECO2.1 pkt 1</v>
      </c>
      <c r="U38" s="167">
        <f>Arbejdsark!E124</f>
        <v>1.3043478260869565E-2</v>
      </c>
      <c r="V38" s="168">
        <f t="shared" si="0"/>
        <v>0</v>
      </c>
      <c r="W38" s="167">
        <f>IF(Projektforudsætninger!$B$14="Ja",Arbejdsark!R124,0%)</f>
        <v>0</v>
      </c>
      <c r="X38" s="169">
        <f t="shared" si="1"/>
        <v>0</v>
      </c>
      <c r="Y38" s="170">
        <f>IF(Arbejdsark!N124=Arbejdsark!L125,Arbejdsark!M125,IF(Arbejdsark!N124=Arbejdsark!L126,Arbejdsark!M126,IF(Arbejdsark!N124=Arbejdsark!L127,Arbejdsark!M127,0)))</f>
        <v>0</v>
      </c>
    </row>
    <row r="39" spans="18:25" ht="15" customHeight="1" outlineLevel="1" x14ac:dyDescent="0.45">
      <c r="R39" s="179"/>
      <c r="S39" s="166" t="str">
        <f>Arbejdsark!C129</f>
        <v>Sammenlægning af boliger</v>
      </c>
      <c r="T39" s="166" t="str">
        <f>Arbejdsark!D129</f>
        <v>ECO2.1
Vægtning: ECO2.1 pkt 5</v>
      </c>
      <c r="U39" s="167">
        <f>Arbejdsark!E129</f>
        <v>6.5217391304347823E-3</v>
      </c>
      <c r="V39" s="168">
        <f t="shared" si="0"/>
        <v>0</v>
      </c>
      <c r="W39" s="167">
        <f>IF(Projektforudsætninger!$B$14="Ja",Arbejdsark!R129,0%)</f>
        <v>0</v>
      </c>
      <c r="X39" s="169">
        <f t="shared" si="1"/>
        <v>0</v>
      </c>
      <c r="Y39" s="170">
        <f>IF(Arbejdsark!N129=Arbejdsark!L130,Arbejdsark!M130,IF(Arbejdsark!N129=Arbejdsark!L131,Arbejdsark!M131,IF(Arbejdsark!N129=Arbejdsark!L132,Arbejdsark!M132,0)))</f>
        <v>0</v>
      </c>
    </row>
    <row r="40" spans="18:25" ht="15" customHeight="1" outlineLevel="1" x14ac:dyDescent="0.45">
      <c r="R40" s="179"/>
      <c r="S40" s="166" t="str">
        <f>Arbejdsark!C134</f>
        <v>Indervægges placering</v>
      </c>
      <c r="T40" s="166" t="str">
        <f>Arbejdsark!D134</f>
        <v>ECO2.1
Vægtning: 75% af ECO2.1 pkt 6</v>
      </c>
      <c r="U40" s="167">
        <f>Arbejdsark!E134</f>
        <v>4.8913043478260865E-3</v>
      </c>
      <c r="V40" s="168">
        <f t="shared" si="0"/>
        <v>0</v>
      </c>
      <c r="W40" s="167">
        <f>IF(Projektforudsætninger!$B$14="Ja",Arbejdsark!R134,0%)</f>
        <v>0</v>
      </c>
      <c r="X40" s="169">
        <f t="shared" si="1"/>
        <v>0</v>
      </c>
      <c r="Y40" s="170">
        <f>IF(Arbejdsark!N134=Arbejdsark!L135,Arbejdsark!M135,IF(Arbejdsark!N134=Arbejdsark!L136,Arbejdsark!M136,IF(Arbejdsark!N134=Arbejdsark!L137,Arbejdsark!M137,0)))</f>
        <v>0</v>
      </c>
    </row>
    <row r="41" spans="18:25" ht="15" customHeight="1" outlineLevel="1" x14ac:dyDescent="0.45">
      <c r="R41" s="179"/>
      <c r="S41" s="166" t="str">
        <f>Arbejdsark!C139</f>
        <v xml:space="preserve">Installationer - føring </v>
      </c>
      <c r="T41" s="166" t="str">
        <f>Arbejdsark!D139</f>
        <v>ECO2.1 + TEC1.4
Vægtning: ECO2.1 pkt. 7.1, 7.2 og 7.3 + TEC1.4 pkt. 1.1, 1.2 og 1.3</v>
      </c>
      <c r="U41" s="167">
        <f>Arbejdsark!E139*1.8/2.3</f>
        <v>1.9375454413261595E-2</v>
      </c>
      <c r="V41" s="168">
        <f t="shared" si="0"/>
        <v>0</v>
      </c>
      <c r="W41" s="167">
        <f>IF(Projektforudsætninger!$B$14="Ja",Arbejdsark!R139*1.8/2.3,0%)</f>
        <v>0</v>
      </c>
      <c r="X41" s="169">
        <f t="shared" si="1"/>
        <v>0</v>
      </c>
      <c r="Y41" s="170">
        <f>IF(Arbejdsark!N139=Arbejdsark!L140,Arbejdsark!M140,IF(Arbejdsark!N139=Arbejdsark!L141,Arbejdsark!M141,IF(Arbejdsark!N139=Arbejdsark!L142,Arbejdsark!M142,0)))</f>
        <v>0</v>
      </c>
    </row>
    <row r="42" spans="18:25" ht="15" customHeight="1" outlineLevel="1" x14ac:dyDescent="0.45">
      <c r="R42" s="179"/>
      <c r="S42" s="166" t="str">
        <f>Arbejdsark!C149</f>
        <v>Konstruktioners bæreevne</v>
      </c>
      <c r="T42" s="166" t="str">
        <f>Arbejdsark!D149</f>
        <v>ECO2.1
Vægtning: 25 % af ECO2.1 pkt. 6</v>
      </c>
      <c r="U42" s="167">
        <f>Arbejdsark!E149</f>
        <v>1.6304347826086956E-3</v>
      </c>
      <c r="V42" s="168">
        <f t="shared" si="0"/>
        <v>0</v>
      </c>
      <c r="W42" s="167">
        <f>IF(Projektforudsætninger!$B$14="Ja",Arbejdsark!R149,0%)</f>
        <v>0</v>
      </c>
      <c r="X42" s="169">
        <f t="shared" si="1"/>
        <v>0</v>
      </c>
      <c r="Y42" s="170">
        <f>IF(Arbejdsark!N149=Arbejdsark!L150,Arbejdsark!M150,IF(Arbejdsark!N149=Arbejdsark!L151,Arbejdsark!M151,IF(Arbejdsark!N149=Arbejdsark!L152,Arbejdsark!M152,0)))</f>
        <v>0</v>
      </c>
    </row>
    <row r="43" spans="18:25" ht="15" customHeight="1" outlineLevel="1" x14ac:dyDescent="0.45">
      <c r="R43" s="179"/>
      <c r="S43" s="166"/>
      <c r="T43" s="166"/>
      <c r="U43" s="167"/>
      <c r="V43" s="168"/>
      <c r="W43" s="167"/>
      <c r="X43" s="169"/>
      <c r="Y43" s="170"/>
    </row>
    <row r="44" spans="18:25" ht="15" customHeight="1" outlineLevel="1" x14ac:dyDescent="0.45">
      <c r="R44" s="174" t="str">
        <f>Arbejdsark!A154</f>
        <v>Robusthed</v>
      </c>
      <c r="S44" s="175"/>
      <c r="T44" s="175"/>
      <c r="U44" s="176">
        <f>SUM(U45:U46)</f>
        <v>1.3947092718700892E-2</v>
      </c>
      <c r="V44" s="176">
        <f>SUM(V45:V46)</f>
        <v>0</v>
      </c>
      <c r="W44" s="176">
        <f>SUM(W45:W46)</f>
        <v>0</v>
      </c>
      <c r="X44" s="177">
        <f>SUM(X45:X46)</f>
        <v>0</v>
      </c>
      <c r="Y44" s="176">
        <f>SUM(Y45:Y46)</f>
        <v>0</v>
      </c>
    </row>
    <row r="45" spans="18:25" ht="15" customHeight="1" outlineLevel="1" x14ac:dyDescent="0.45">
      <c r="R45" s="179"/>
      <c r="S45" s="166" t="str">
        <f>Arbejdsark!C154</f>
        <v>Private uderum/altaner</v>
      </c>
      <c r="T45" s="166" t="str">
        <f>Arbejdsark!D154</f>
        <v>SOC1.6+SOC3.3
Vægtning: SOC1.6 pkt. 1.3 og 1.5 + SOC3.3 pkt 2.4.5</v>
      </c>
      <c r="U45" s="167">
        <f>Arbejdsark!E154*1/3</f>
        <v>9.0361445783132543E-4</v>
      </c>
      <c r="V45" s="168">
        <f>Y45*U45</f>
        <v>0</v>
      </c>
      <c r="W45" s="167">
        <f>IF(Projektforudsætninger!$B$14="Ja",Arbejdsark!R154*1/3,0%)</f>
        <v>0</v>
      </c>
      <c r="X45" s="169">
        <f>Y45*W45</f>
        <v>0</v>
      </c>
      <c r="Y45" s="170">
        <f>IF(Arbejdsark!N154=Arbejdsark!L155,Arbejdsark!M155,IF(Arbejdsark!N154=Arbejdsark!L156,Arbejdsark!M156,IF(Arbejdsark!N154=Arbejdsark!L157,Arbejdsark!M157,0)))</f>
        <v>0</v>
      </c>
    </row>
    <row r="46" spans="18:25" ht="15" customHeight="1" outlineLevel="1" x14ac:dyDescent="0.45">
      <c r="R46" s="179"/>
      <c r="S46" s="166" t="str">
        <f>Arbejdsark!C159</f>
        <v>Forebyggelse af byggeskader</v>
      </c>
      <c r="T46" s="166" t="str">
        <f>Arbejdsark!D159</f>
        <v>ECO2.2
Vægtning: ECO2.2 pkt. 2</v>
      </c>
      <c r="U46" s="167">
        <f>Arbejdsark!E159</f>
        <v>1.3043478260869566E-2</v>
      </c>
      <c r="V46" s="168">
        <f>Y46*U46</f>
        <v>0</v>
      </c>
      <c r="W46" s="167">
        <f>IF(Projektforudsætninger!$B$14="Ja",Arbejdsark!R159,0%)</f>
        <v>0</v>
      </c>
      <c r="X46" s="169">
        <f>Y46*W46</f>
        <v>0</v>
      </c>
      <c r="Y46" s="170">
        <f>IF(Arbejdsark!N159=Arbejdsark!L160,Arbejdsark!M160,IF(Arbejdsark!N159=Arbejdsark!L161,Arbejdsark!M161,IF(Arbejdsark!N159=Arbejdsark!L162,Arbejdsark!M162,0)))</f>
        <v>0</v>
      </c>
    </row>
    <row r="47" spans="18:25" ht="15" customHeight="1" outlineLevel="1" thickBot="1" x14ac:dyDescent="0.5">
      <c r="R47" s="187"/>
      <c r="S47" s="181"/>
      <c r="T47" s="181"/>
      <c r="U47" s="182"/>
      <c r="V47" s="183"/>
      <c r="W47" s="182"/>
      <c r="X47" s="184"/>
      <c r="Y47" s="185"/>
    </row>
    <row r="48" spans="18:25" ht="15" customHeight="1" outlineLevel="1" thickBot="1" x14ac:dyDescent="0.5">
      <c r="R48" s="155" t="str">
        <f>Arbejdsark!A165</f>
        <v>SOCIAL KVALITET</v>
      </c>
      <c r="S48" s="156"/>
      <c r="T48" s="156"/>
      <c r="U48" s="157" t="e">
        <f>SUM(U49,U55,U58,U69,U74,U78,U82,U87,U91,U97)</f>
        <v>#REF!</v>
      </c>
      <c r="V48" s="157" t="e">
        <f>SUM(V49,V55,V58,V69,V74,V78,V82,V87,V91,V97)</f>
        <v>#REF!</v>
      </c>
      <c r="W48" s="157">
        <f>SUM(W49,W55,W58,W69,W74,W78,W82,W87,W91,W97)</f>
        <v>0</v>
      </c>
      <c r="X48" s="158" t="e">
        <f>SUM(X49,X55,X58,X69,X74,X78,X82,X87,X91,X97)</f>
        <v>#REF!</v>
      </c>
      <c r="Y48" s="157"/>
    </row>
    <row r="49" spans="18:25" ht="15" customHeight="1" outlineLevel="1" x14ac:dyDescent="0.45">
      <c r="R49" s="161" t="str">
        <f>Arbejdsark!A51</f>
        <v>Beplantning</v>
      </c>
      <c r="S49" s="162"/>
      <c r="T49" s="162"/>
      <c r="U49" s="163">
        <f>SUM(U50:U53)</f>
        <v>5.0256024096385545E-3</v>
      </c>
      <c r="V49" s="163">
        <f>SUM(V50:V53)</f>
        <v>0</v>
      </c>
      <c r="W49" s="163">
        <f>SUM(W50:W53)</f>
        <v>0</v>
      </c>
      <c r="X49" s="164">
        <f>SUM(X50:X53)</f>
        <v>0</v>
      </c>
      <c r="Y49" s="163">
        <f>SUM(Y50:Y53)</f>
        <v>0</v>
      </c>
    </row>
    <row r="50" spans="18:25" ht="15" customHeight="1" outlineLevel="1" x14ac:dyDescent="0.45">
      <c r="R50" s="178"/>
      <c r="S50" s="166" t="str">
        <f>Arbejdsark!C51</f>
        <v>Plantearter</v>
      </c>
      <c r="T50" s="166" t="str">
        <f>Arbejdsark!D51</f>
        <v>ENV2.3 + SOC1.6
Vægtning: ENV2.3 pkt. 2.2 + SOC1.6 pkt. 2.3</v>
      </c>
      <c r="U50" s="167">
        <f>Arbejdsark!E51*1/3</f>
        <v>6.7620481927710852E-4</v>
      </c>
      <c r="V50" s="168">
        <f>Y50*U50</f>
        <v>0</v>
      </c>
      <c r="W50" s="167">
        <f>IF(Projektforudsætninger!$B$14="Ja",Arbejdsark!R51*1/3,0%)</f>
        <v>0</v>
      </c>
      <c r="X50" s="169">
        <f>Y50*W50</f>
        <v>0</v>
      </c>
      <c r="Y50" s="170">
        <f>IF(Arbejdsark!N51=Arbejdsark!L52,Arbejdsark!M52,IF(Arbejdsark!N51=Arbejdsark!L53,Arbejdsark!M53,IF(Arbejdsark!N51=Arbejdsark!L54,Arbejdsark!M54,0)))</f>
        <v>0</v>
      </c>
    </row>
    <row r="51" spans="18:25" ht="15" customHeight="1" outlineLevel="1" x14ac:dyDescent="0.45">
      <c r="R51" s="179"/>
      <c r="S51" s="166" t="str">
        <f>Arbejdsark!C58</f>
        <v>Vedligehold af beplantning</v>
      </c>
      <c r="T51" s="166" t="str">
        <f>Arbejdsark!D58</f>
        <v>Vægtning: SOC1.6 pkt. 2.4</v>
      </c>
      <c r="U51" s="167">
        <f>Arbejdsark!E58</f>
        <v>1.8072289156626509E-3</v>
      </c>
      <c r="V51" s="168">
        <f>Y51*U51</f>
        <v>0</v>
      </c>
      <c r="W51" s="167">
        <f>IF(Projektforudsætninger!$B$14="Ja",Arbejdsark!R58,0%)</f>
        <v>0</v>
      </c>
      <c r="X51" s="169">
        <f>Y51*W51</f>
        <v>0</v>
      </c>
      <c r="Y51" s="170">
        <f>IF(Arbejdsark!N58=Arbejdsark!L59,Arbejdsark!M59,IF(Arbejdsark!N58=Arbejdsark!L60,Arbejdsark!M60,IF(Arbejdsark!N58=Arbejdsark!L61,Arbejdsark!M61,0)))</f>
        <v>0</v>
      </c>
    </row>
    <row r="52" spans="18:25" ht="15" customHeight="1" outlineLevel="1" x14ac:dyDescent="0.45">
      <c r="R52" s="179"/>
      <c r="S52" s="166" t="str">
        <f>Arbejdsark!C63</f>
        <v>Læ, sol og skygge</v>
      </c>
      <c r="T52" s="166" t="str">
        <f>Arbejdsark!D63</f>
        <v>SOC1.6
Vægtning: 20% af SOC1.6 pkt 2.8</v>
      </c>
      <c r="U52" s="189">
        <f>Arbejdsark!E63</f>
        <v>5.421686746987953E-4</v>
      </c>
      <c r="V52" s="168">
        <f>Y52*U52</f>
        <v>0</v>
      </c>
      <c r="W52" s="167">
        <f>IF(Projektforudsætninger!$B$14="Ja",Arbejdsark!R63,0%)</f>
        <v>0</v>
      </c>
      <c r="X52" s="169">
        <f>Y52*W52</f>
        <v>0</v>
      </c>
      <c r="Y52" s="170">
        <f>IF(Arbejdsark!N63=Arbejdsark!L64,Arbejdsark!M64,IF(Arbejdsark!N63=Arbejdsark!L65,Arbejdsark!M65,IF(Arbejdsark!N63=Arbejdsark!L66,Arbejdsark!M66,0)))</f>
        <v>0</v>
      </c>
    </row>
    <row r="53" spans="18:25" ht="15" customHeight="1" outlineLevel="1" x14ac:dyDescent="0.45">
      <c r="R53" s="179"/>
      <c r="S53" s="166" t="str">
        <f>Arbejdsark!C68</f>
        <v>Beplantning på tag og facade</v>
      </c>
      <c r="T53" s="166" t="str">
        <f>Arbejdsark!D68</f>
        <v>SOC1.6
Vægtning: SOC1.6 pkt. 1.2 + 1.6</v>
      </c>
      <c r="U53" s="167">
        <f>Arbejdsark!E68</f>
        <v>2E-3</v>
      </c>
      <c r="V53" s="168">
        <f>Y53*U53</f>
        <v>0</v>
      </c>
      <c r="W53" s="167">
        <f>IF(Projektforudsætninger!$B$14="Ja",Arbejdsark!R68,0%)</f>
        <v>0</v>
      </c>
      <c r="X53" s="169">
        <f>Y53*W53</f>
        <v>0</v>
      </c>
      <c r="Y53" s="170">
        <f>IF(Arbejdsark!N68=Arbejdsark!L69,Arbejdsark!M69,IF(Arbejdsark!N68=Arbejdsark!L70,Arbejdsark!M70,IF(Arbejdsark!N68=Arbejdsark!L71,Arbejdsark!M71,0)))</f>
        <v>0</v>
      </c>
    </row>
    <row r="54" spans="18:25" ht="15" customHeight="1" outlineLevel="1" x14ac:dyDescent="0.45">
      <c r="R54" s="190"/>
      <c r="S54" s="191"/>
      <c r="T54" s="191"/>
      <c r="U54" s="192"/>
      <c r="V54" s="192"/>
      <c r="W54" s="192"/>
      <c r="X54" s="193"/>
      <c r="Y54" s="194"/>
    </row>
    <row r="55" spans="18:25" ht="15" customHeight="1" outlineLevel="1" x14ac:dyDescent="0.45">
      <c r="R55" s="174" t="str">
        <f>Arbejdsark!A154</f>
        <v>Robusthed</v>
      </c>
      <c r="S55" s="175"/>
      <c r="T55" s="175"/>
      <c r="U55" s="176">
        <f>SUM(U56)</f>
        <v>1.8072289156626509E-3</v>
      </c>
      <c r="V55" s="176">
        <f>SUM(V56)</f>
        <v>0</v>
      </c>
      <c r="W55" s="176">
        <f>SUM(W56)</f>
        <v>0</v>
      </c>
      <c r="X55" s="177">
        <f>SUM(X56)</f>
        <v>0</v>
      </c>
      <c r="Y55" s="176">
        <f>SUM(Y56)</f>
        <v>0</v>
      </c>
    </row>
    <row r="56" spans="18:25" ht="15" customHeight="1" outlineLevel="1" x14ac:dyDescent="0.45">
      <c r="R56" s="179"/>
      <c r="S56" s="166" t="str">
        <f>Arbejdsark!C154</f>
        <v>Private uderum/altaner</v>
      </c>
      <c r="T56" s="166" t="str">
        <f>Arbejdsark!D154</f>
        <v>SOC1.6+SOC3.3
Vægtning: SOC1.6 pkt. 1.3 og 1.5 + SOC3.3 pkt 2.4.5</v>
      </c>
      <c r="U56" s="167">
        <f>Arbejdsark!E154*2/3</f>
        <v>1.8072289156626509E-3</v>
      </c>
      <c r="V56" s="168">
        <f>Y56*U56</f>
        <v>0</v>
      </c>
      <c r="W56" s="167">
        <f>IF(Projektforudsætninger!$B$14="Ja",Arbejdsark!R154*2/3,0%)</f>
        <v>0</v>
      </c>
      <c r="X56" s="169">
        <f>Y56*W56</f>
        <v>0</v>
      </c>
      <c r="Y56" s="170">
        <f>IF(Arbejdsark!N154=Arbejdsark!L155,Arbejdsark!M155,IF(Arbejdsark!N154=Arbejdsark!L156,Arbejdsark!M156,IF(Arbejdsark!N154=Arbejdsark!L157,Arbejdsark!M157,0)))</f>
        <v>0</v>
      </c>
    </row>
    <row r="57" spans="18:25" ht="15" customHeight="1" outlineLevel="1" x14ac:dyDescent="0.45">
      <c r="R57" s="190"/>
      <c r="S57" s="191"/>
      <c r="T57" s="191"/>
      <c r="U57" s="192"/>
      <c r="V57" s="192"/>
      <c r="W57" s="192"/>
      <c r="X57" s="193"/>
      <c r="Y57" s="194"/>
    </row>
    <row r="58" spans="18:25" ht="15" customHeight="1" outlineLevel="1" x14ac:dyDescent="0.45">
      <c r="R58" s="174" t="str">
        <f>Arbejdsark!A167</f>
        <v>Indeklima</v>
      </c>
      <c r="S58" s="175"/>
      <c r="T58" s="175"/>
      <c r="U58" s="176">
        <f>SUM(U59:U67)</f>
        <v>9.9397590361445784E-2</v>
      </c>
      <c r="V58" s="176" t="e">
        <f>SUM(V59:V67)</f>
        <v>#REF!</v>
      </c>
      <c r="W58" s="176">
        <f>SUM(W59:W67)</f>
        <v>0</v>
      </c>
      <c r="X58" s="177" t="e">
        <f>SUM(X59:X67)</f>
        <v>#REF!</v>
      </c>
      <c r="Y58" s="176" t="e">
        <f>SUM(Y59:Y67)</f>
        <v>#REF!</v>
      </c>
    </row>
    <row r="59" spans="18:25" ht="15" customHeight="1" outlineLevel="1" x14ac:dyDescent="0.45">
      <c r="R59" s="178"/>
      <c r="S59" s="166" t="str">
        <f>Arbejdsark!C167</f>
        <v>Temperatur</v>
      </c>
      <c r="T59" s="166" t="str">
        <f>Arbejdsark!D167</f>
        <v>SOC1.1
Vægtning: SOC1.1 pkt. 1 + 4</v>
      </c>
      <c r="U59" s="167">
        <f>Arbejdsark!E167</f>
        <v>2.710843373493976E-2</v>
      </c>
      <c r="V59" s="168">
        <f t="shared" ref="V59:V67" si="2">Y59*U59</f>
        <v>0</v>
      </c>
      <c r="W59" s="167">
        <f>IF(Projektforudsætninger!$B$14="Ja",Arbejdsark!R167,0%)</f>
        <v>0</v>
      </c>
      <c r="X59" s="169">
        <f t="shared" ref="X59:X67" si="3">Y59*W59</f>
        <v>0</v>
      </c>
      <c r="Y59" s="170">
        <f>IF(Arbejdsark!N167=Arbejdsark!L168,Arbejdsark!M168,IF(Arbejdsark!N167=Arbejdsark!L169,Arbejdsark!M169,IF(Arbejdsark!N167=Arbejdsark!L170,Arbejdsark!M170,0)))</f>
        <v>0</v>
      </c>
    </row>
    <row r="60" spans="18:25" ht="15" customHeight="1" outlineLevel="1" x14ac:dyDescent="0.45">
      <c r="R60" s="179"/>
      <c r="S60" s="166" t="str">
        <f>Arbejdsark!C172</f>
        <v>Træk</v>
      </c>
      <c r="T60" s="166" t="str">
        <f>Arbejdsark!D172</f>
        <v>SOC1.1
Vægtning: SOC1.1 pkt. 2 + 5</v>
      </c>
      <c r="U60" s="167">
        <f>Arbejdsark!E172</f>
        <v>9.0361445783132526E-3</v>
      </c>
      <c r="V60" s="168">
        <f t="shared" si="2"/>
        <v>0</v>
      </c>
      <c r="W60" s="167">
        <f>IF(Projektforudsætninger!$B$14="Ja",Arbejdsark!R172,0%)</f>
        <v>0</v>
      </c>
      <c r="X60" s="169">
        <f t="shared" si="3"/>
        <v>0</v>
      </c>
      <c r="Y60" s="170">
        <f>IF(Arbejdsark!N172=Arbejdsark!L173,Arbejdsark!M173,IF(Arbejdsark!N172=Arbejdsark!L174,Arbejdsark!M174,IF(Arbejdsark!N172=Arbejdsark!L175,Arbejdsark!M175,0)))</f>
        <v>0</v>
      </c>
    </row>
    <row r="61" spans="18:25" ht="15" customHeight="1" outlineLevel="1" x14ac:dyDescent="0.45">
      <c r="R61" s="179"/>
      <c r="S61" s="166" t="str">
        <f>Arbejdsark!C177</f>
        <v>Oplevede temperaturforskelle i rummet</v>
      </c>
      <c r="T61" s="166" t="str">
        <f>Arbejdsark!D177</f>
        <v>SOC1.1
Vægtning: SOC1.1 pkt. 3 + 6</v>
      </c>
      <c r="U61" s="167">
        <f>Arbejdsark!E177</f>
        <v>9.0361445783132526E-3</v>
      </c>
      <c r="V61" s="168">
        <f t="shared" si="2"/>
        <v>0</v>
      </c>
      <c r="W61" s="167">
        <f>IF(Projektforudsætninger!$B$14="Ja",Arbejdsark!R177,0%)</f>
        <v>0</v>
      </c>
      <c r="X61" s="169">
        <f t="shared" si="3"/>
        <v>0</v>
      </c>
      <c r="Y61" s="170">
        <f>IF(Arbejdsark!N177=Arbejdsark!L178,Arbejdsark!M178,IF(Arbejdsark!N177=Arbejdsark!L179,Arbejdsark!M179,IF(Arbejdsark!N177=Arbejdsark!L180,Arbejdsark!M180,0)))</f>
        <v>0</v>
      </c>
    </row>
    <row r="62" spans="18:25" ht="15" customHeight="1" outlineLevel="1" x14ac:dyDescent="0.45">
      <c r="R62" s="179"/>
      <c r="S62" s="166" t="str">
        <f>Arbejdsark!C187</f>
        <v>Luftkvalitet - mekanisk ventilation</v>
      </c>
      <c r="T62" s="166" t="str">
        <f>Arbejdsark!D187</f>
        <v>SOC1.2
Vægtning: SOC1.2 pkt. 2</v>
      </c>
      <c r="U62" s="167">
        <f>Arbejdsark!E187</f>
        <v>1.355421686746988E-2</v>
      </c>
      <c r="V62" s="168">
        <f t="shared" si="2"/>
        <v>0</v>
      </c>
      <c r="W62" s="167">
        <f>IF(Projektforudsætninger!$B$14="Ja",Arbejdsark!R187,0%)</f>
        <v>0</v>
      </c>
      <c r="X62" s="169">
        <f t="shared" si="3"/>
        <v>0</v>
      </c>
      <c r="Y62" s="170">
        <f>IF(Arbejdsark!N187=Arbejdsark!L188,Arbejdsark!M188,IF(Arbejdsark!N187=Arbejdsark!L189,Arbejdsark!M189,IF(Arbejdsark!N187=Arbejdsark!L190,Arbejdsark!M190,0)))</f>
        <v>0</v>
      </c>
    </row>
    <row r="63" spans="18:25" ht="15" customHeight="1" outlineLevel="1" x14ac:dyDescent="0.45">
      <c r="R63" s="179"/>
      <c r="S63" s="166" t="str">
        <f>Arbejdsark!C192</f>
        <v>Luftkvalitet - afgasning</v>
      </c>
      <c r="T63" s="166" t="str">
        <f>Arbejdsark!D192</f>
        <v>Vægtning: SOC1.2 pkt. 1</v>
      </c>
      <c r="U63" s="167">
        <f>Arbejdsark!E192</f>
        <v>1.355421686746988E-2</v>
      </c>
      <c r="V63" s="168">
        <f t="shared" si="2"/>
        <v>0</v>
      </c>
      <c r="W63" s="167">
        <f>IF(Projektforudsætninger!$B$14="Ja",Arbejdsark!R192,0%)</f>
        <v>0</v>
      </c>
      <c r="X63" s="169">
        <f t="shared" si="3"/>
        <v>0</v>
      </c>
      <c r="Y63" s="170">
        <f>IF(Arbejdsark!N192=Arbejdsark!L193,Arbejdsark!M193,IF(Arbejdsark!N191=Arbejdsark!L194,Arbejdsark!M194,IF(Arbejdsark!N192=Arbejdsark!L195,Arbejdsark!M195,0)))</f>
        <v>0</v>
      </c>
    </row>
    <row r="64" spans="18:25" ht="15" customHeight="1" outlineLevel="1" x14ac:dyDescent="0.45">
      <c r="R64" s="179"/>
      <c r="S64" s="166" t="str">
        <f>Arbejdsark!C197</f>
        <v>Lys</v>
      </c>
      <c r="T64" s="166" t="str">
        <f>Arbejdsark!D197</f>
        <v>SOC1.4 
Vægtning: SOC1.4 pkt. 1 + 2</v>
      </c>
      <c r="U64" s="167">
        <f>Arbejdsark!E197</f>
        <v>1.2198795180722892E-2</v>
      </c>
      <c r="V64" s="168">
        <f t="shared" si="2"/>
        <v>0</v>
      </c>
      <c r="W64" s="167">
        <f>IF(Projektforudsætninger!$B$14="Ja",Arbejdsark!R197,0%)</f>
        <v>0</v>
      </c>
      <c r="X64" s="169">
        <f t="shared" si="3"/>
        <v>0</v>
      </c>
      <c r="Y64" s="170">
        <f>IF(Arbejdsark!N197=Arbejdsark!L198,Arbejdsark!M198,IF(Arbejdsark!N197=Arbejdsark!L199,Arbejdsark!M199,IF(Arbejdsark!N197=Arbejdsark!L200,Arbejdsark!M200,0)))</f>
        <v>0</v>
      </c>
    </row>
    <row r="65" spans="18:25" ht="15" customHeight="1" outlineLevel="1" x14ac:dyDescent="0.45">
      <c r="R65" s="179"/>
      <c r="S65" s="166" t="str">
        <f>Arbejdsark!C202</f>
        <v>Sollys</v>
      </c>
      <c r="T65" s="166" t="str">
        <f>Arbejdsark!D202</f>
        <v>SOC1.4 
Vægtning: SOC1.4 pkt. 8</v>
      </c>
      <c r="U65" s="167">
        <f>Arbejdsark!E202</f>
        <v>6.7771084337349399E-3</v>
      </c>
      <c r="V65" s="168">
        <f t="shared" si="2"/>
        <v>0</v>
      </c>
      <c r="W65" s="167">
        <f>IF(Projektforudsætninger!$B$14="Ja",Arbejdsark!R202,0%)</f>
        <v>0</v>
      </c>
      <c r="X65" s="169">
        <f t="shared" si="3"/>
        <v>0</v>
      </c>
      <c r="Y65" s="170">
        <f>IF(Arbejdsark!N202=Arbejdsark!L203,Arbejdsark!M203,IF(Arbejdsark!N202=Arbejdsark!L204,Arbejdsark!M204,IF(Arbejdsark!N202=Arbejdsark!L205,Arbejdsark!M205,0)))</f>
        <v>0</v>
      </c>
    </row>
    <row r="66" spans="18:25" ht="15" customHeight="1" outlineLevel="1" x14ac:dyDescent="0.45">
      <c r="R66" s="179"/>
      <c r="S66" s="166" t="str">
        <f>Arbejdsark!C207</f>
        <v>Farvegengivelse</v>
      </c>
      <c r="T66" s="166" t="str">
        <f>Arbejdsark!D207</f>
        <v>SOC1.4 
Vægtning: SOC1.4 pkt. 7</v>
      </c>
      <c r="U66" s="167">
        <f>Arbejdsark!E207</f>
        <v>4.0662650602409636E-3</v>
      </c>
      <c r="V66" s="168">
        <f t="shared" si="2"/>
        <v>0</v>
      </c>
      <c r="W66" s="167">
        <f>IF(Projektforudsætninger!$B$14="Ja",Arbejdsark!R207,0%)</f>
        <v>0</v>
      </c>
      <c r="X66" s="169">
        <f t="shared" si="3"/>
        <v>0</v>
      </c>
      <c r="Y66" s="170">
        <f>IF(Arbejdsark!N207=Arbejdsark!L208,Arbejdsark!M208,IF(Arbejdsark!N207=Arbejdsark!L209,Arbejdsark!M209,IF(Arbejdsark!N207=Arbejdsark!L210,Arbejdsark!M210,0)))</f>
        <v>0</v>
      </c>
    </row>
    <row r="67" spans="18:25" ht="15" customHeight="1" outlineLevel="1" x14ac:dyDescent="0.45">
      <c r="R67" s="179"/>
      <c r="S67" s="166" t="str">
        <f>Arbejdsark!C212</f>
        <v>Udsyn</v>
      </c>
      <c r="T67" s="166" t="str">
        <f>Arbejdsark!D212</f>
        <v>SOC1.4 
Vægtning: SOC1.4 pkt. 3</v>
      </c>
      <c r="U67" s="167">
        <f>Arbejdsark!E212</f>
        <v>4.0662650602409636E-3</v>
      </c>
      <c r="V67" s="168" t="e">
        <f t="shared" si="2"/>
        <v>#REF!</v>
      </c>
      <c r="W67" s="167">
        <f>IF(Projektforudsætninger!$B$14="Ja",Arbejdsark!R212,0%)</f>
        <v>0</v>
      </c>
      <c r="X67" s="169" t="e">
        <f t="shared" si="3"/>
        <v>#REF!</v>
      </c>
      <c r="Y67" s="170" t="e">
        <f>IF(Arbejdsark!N212=Arbejdsark!#REF!,Arbejdsark!#REF!,IF(Arbejdsark!N212=Arbejdsark!L213,Arbejdsark!M213,IF(Arbejdsark!N212=Arbejdsark!L214,Arbejdsark!M214,IF(Arbejdsark!N212=Arbejdsark!L215,Arbejdsark!M215,0))))</f>
        <v>#REF!</v>
      </c>
    </row>
    <row r="68" spans="18:25" ht="15" customHeight="1" outlineLevel="1" x14ac:dyDescent="0.45">
      <c r="R68" s="179"/>
      <c r="S68" s="166"/>
      <c r="T68" s="166"/>
      <c r="U68" s="167"/>
      <c r="V68" s="168"/>
      <c r="W68" s="167"/>
      <c r="X68" s="169"/>
      <c r="Y68" s="170"/>
    </row>
    <row r="69" spans="18:25" ht="15" customHeight="1" outlineLevel="1" x14ac:dyDescent="0.45">
      <c r="R69" s="174" t="str">
        <f>Arbejdsark!A217</f>
        <v>Brugerstyring</v>
      </c>
      <c r="S69" s="175"/>
      <c r="T69" s="175"/>
      <c r="U69" s="176">
        <f>SUM(U70:U72)</f>
        <v>1.8072289156626505E-2</v>
      </c>
      <c r="V69" s="176">
        <f>SUM(V70:V72)</f>
        <v>0</v>
      </c>
      <c r="W69" s="176">
        <f>SUM(W70:W72)</f>
        <v>0</v>
      </c>
      <c r="X69" s="177">
        <f>SUM(X70:X72)</f>
        <v>0</v>
      </c>
      <c r="Y69" s="176">
        <f>SUM(Y70:Y72)</f>
        <v>0</v>
      </c>
    </row>
    <row r="70" spans="18:25" ht="15" customHeight="1" outlineLevel="1" x14ac:dyDescent="0.45">
      <c r="R70" s="178"/>
      <c r="S70" s="166" t="str">
        <f>Arbejdsark!C217</f>
        <v>Temperatur</v>
      </c>
      <c r="T70" s="166" t="str">
        <f>Arbejdsark!D217</f>
        <v>SOC1.5
Vægtning: SOC1.5 pkt. 5</v>
      </c>
      <c r="U70" s="167">
        <f>Arbejdsark!E217</f>
        <v>3.6144578313253013E-3</v>
      </c>
      <c r="V70" s="168">
        <f>Y70*U70</f>
        <v>0</v>
      </c>
      <c r="W70" s="167">
        <f>IF(Projektforudsætninger!$B$14="Ja",Arbejdsark!R217,0%)</f>
        <v>0</v>
      </c>
      <c r="X70" s="169">
        <f>Y70*W70</f>
        <v>0</v>
      </c>
      <c r="Y70" s="170">
        <f>IF(Arbejdsark!N217=Arbejdsark!L218,Arbejdsark!M218,IF(Arbejdsark!N217=Arbejdsark!L219,Arbejdsark!M219,IF(Arbejdsark!N217=Arbejdsark!L220,Arbejdsark!M220,0)))</f>
        <v>0</v>
      </c>
    </row>
    <row r="71" spans="18:25" ht="15" customHeight="1" outlineLevel="1" x14ac:dyDescent="0.45">
      <c r="R71" s="179"/>
      <c r="S71" s="166" t="str">
        <f>Arbejdsark!C222</f>
        <v>Luftkvalitet</v>
      </c>
      <c r="T71" s="166" t="str">
        <f>Arbejdsark!D222</f>
        <v>SOC1.5
Vægtning: SOC1.5 pkt. 1</v>
      </c>
      <c r="U71" s="167">
        <f>Arbejdsark!E222</f>
        <v>7.2289156626506026E-3</v>
      </c>
      <c r="V71" s="168">
        <f>Y71*U71</f>
        <v>0</v>
      </c>
      <c r="W71" s="167">
        <f>IF(Projektforudsætninger!$B$14="Ja",Arbejdsark!R222,0%)</f>
        <v>0</v>
      </c>
      <c r="X71" s="169">
        <f>Y71*W71</f>
        <v>0</v>
      </c>
      <c r="Y71" s="170">
        <f>IF(Arbejdsark!N222=Arbejdsark!L223,Arbejdsark!M223,IF(Arbejdsark!N222=Arbejdsark!L224,Arbejdsark!M224,IF(Arbejdsark!N222=Arbejdsark!L225,Arbejdsark!M225,0)))</f>
        <v>0</v>
      </c>
    </row>
    <row r="72" spans="18:25" ht="15" customHeight="1" outlineLevel="1" x14ac:dyDescent="0.45">
      <c r="R72" s="179"/>
      <c r="S72" s="166" t="str">
        <f>Arbejdsark!C227</f>
        <v>Lys</v>
      </c>
      <c r="T72" s="166" t="str">
        <f>Arbejdsark!D227</f>
        <v>SOC1.5
Vægtning: SOC1.5 pkt. 2</v>
      </c>
      <c r="U72" s="167">
        <f>Arbejdsark!E227</f>
        <v>7.2289156626506026E-3</v>
      </c>
      <c r="V72" s="168">
        <f>Y72*U72</f>
        <v>0</v>
      </c>
      <c r="W72" s="167">
        <f>IF(Projektforudsætninger!$B$14="Ja",Arbejdsark!R227,0%)</f>
        <v>0</v>
      </c>
      <c r="X72" s="169">
        <f>Y72*W72</f>
        <v>0</v>
      </c>
      <c r="Y72" s="170">
        <f>IF(Arbejdsark!N227=Arbejdsark!L228,Arbejdsark!M228,IF(Arbejdsark!N227=Arbejdsark!L229,Arbejdsark!M229,IF(Arbejdsark!N227=Arbejdsark!L230,Arbejdsark!M230,IF(Arbejdsark!N227=Arbejdsark!L231,Arbejdsark!M231,0))))</f>
        <v>0</v>
      </c>
    </row>
    <row r="73" spans="18:25" ht="15" customHeight="1" outlineLevel="1" x14ac:dyDescent="0.45">
      <c r="R73" s="179"/>
      <c r="S73" s="166"/>
      <c r="T73" s="166"/>
      <c r="U73" s="167"/>
      <c r="V73" s="168"/>
      <c r="W73" s="167"/>
      <c r="X73" s="169"/>
      <c r="Y73" s="170"/>
    </row>
    <row r="74" spans="18:25" ht="15" customHeight="1" outlineLevel="1" x14ac:dyDescent="0.45">
      <c r="R74" s="174" t="str">
        <f>Arbejdsark!A234</f>
        <v>Tilgængelighed</v>
      </c>
      <c r="S74" s="175"/>
      <c r="T74" s="175"/>
      <c r="U74" s="176" t="e">
        <f>SUM(U75:U76)</f>
        <v>#REF!</v>
      </c>
      <c r="V74" s="176" t="e">
        <f>SUM(V75:V76)</f>
        <v>#REF!</v>
      </c>
      <c r="W74" s="176">
        <f>SUM(W75:W76)</f>
        <v>0</v>
      </c>
      <c r="X74" s="177" t="e">
        <f>SUM(X75:X76)</f>
        <v>#REF!</v>
      </c>
      <c r="Y74" s="176" t="e">
        <f>SUM(Y75:Y76)</f>
        <v>#REF!</v>
      </c>
    </row>
    <row r="75" spans="18:25" ht="15" customHeight="1" outlineLevel="1" x14ac:dyDescent="0.45">
      <c r="R75" s="178"/>
      <c r="S75" s="166" t="str">
        <f>Arbejdsark!C234</f>
        <v>Tilgængelighed generelt</v>
      </c>
      <c r="T75" s="166" t="str">
        <f>Arbejdsark!D234</f>
        <v>SOC2.1
Vægtning: 50 % af SOC2.1</v>
      </c>
      <c r="U75" s="167">
        <f>Arbejdsark!E234</f>
        <v>1.355421686746988E-2</v>
      </c>
      <c r="V75" s="168">
        <f t="shared" ref="V75:V76" si="4">Y75*U75</f>
        <v>0</v>
      </c>
      <c r="W75" s="167">
        <f>IF(Projektforudsætninger!$B$14="Ja",Arbejdsark!R234,0%)</f>
        <v>0</v>
      </c>
      <c r="X75" s="169">
        <f t="shared" ref="X75:X76" si="5">Y75*W75</f>
        <v>0</v>
      </c>
      <c r="Y75" s="170">
        <f>IF(Arbejdsark!N234=Arbejdsark!L235,Arbejdsark!M235,IF(Arbejdsark!N234=Arbejdsark!L236,Arbejdsark!M236,IF(Arbejdsark!N234=Arbejdsark!L237,Arbejdsark!M237,0)))</f>
        <v>0</v>
      </c>
    </row>
    <row r="76" spans="18:25" ht="15" customHeight="1" outlineLevel="1" x14ac:dyDescent="0.45">
      <c r="R76" s="179"/>
      <c r="S76" s="166" t="e">
        <f>Arbejdsark!#REF!</f>
        <v>#REF!</v>
      </c>
      <c r="T76" s="166" t="e">
        <f>Arbejdsark!#REF!</f>
        <v>#REF!</v>
      </c>
      <c r="U76" s="167" t="e">
        <f>Arbejdsark!#REF!</f>
        <v>#REF!</v>
      </c>
      <c r="V76" s="168" t="e">
        <f t="shared" si="4"/>
        <v>#REF!</v>
      </c>
      <c r="W76" s="167">
        <f>IF(Projektforudsætninger!$B$14="Ja",Arbejdsark!#REF!,0%)</f>
        <v>0</v>
      </c>
      <c r="X76" s="169" t="e">
        <f t="shared" si="5"/>
        <v>#REF!</v>
      </c>
      <c r="Y76" s="170" t="e">
        <f>IF(Arbejdsark!#REF!=Arbejdsark!#REF!,Arbejdsark!#REF!,IF(Arbejdsark!#REF!=Arbejdsark!#REF!,Arbejdsark!#REF!,IF(Arbejdsark!#REF!=Arbejdsark!#REF!,Arbejdsark!#REF!,0)))</f>
        <v>#REF!</v>
      </c>
    </row>
    <row r="77" spans="18:25" ht="15" customHeight="1" outlineLevel="1" x14ac:dyDescent="0.45">
      <c r="R77" s="179"/>
      <c r="S77" s="166"/>
      <c r="T77" s="166"/>
      <c r="U77" s="167"/>
      <c r="V77" s="168"/>
      <c r="W77" s="167"/>
      <c r="X77" s="169"/>
      <c r="Y77" s="170"/>
    </row>
    <row r="78" spans="18:25" ht="15" customHeight="1" outlineLevel="1" x14ac:dyDescent="0.45">
      <c r="R78" s="174" t="str">
        <f>Arbejdsark!A239</f>
        <v>Udearealer</v>
      </c>
      <c r="S78" s="175"/>
      <c r="T78" s="175"/>
      <c r="U78" s="176">
        <f>SUM(U79:U80)</f>
        <v>1.0301204819277109E-2</v>
      </c>
      <c r="V78" s="176">
        <f>SUM(V79:V80)</f>
        <v>0</v>
      </c>
      <c r="W78" s="176">
        <f>SUM(W79:W80)</f>
        <v>0</v>
      </c>
      <c r="X78" s="177">
        <f>SUM(X79:X80)</f>
        <v>0</v>
      </c>
      <c r="Y78" s="176">
        <f>SUM(Y79:Y80)</f>
        <v>0</v>
      </c>
    </row>
    <row r="79" spans="18:25" ht="15" customHeight="1" outlineLevel="1" x14ac:dyDescent="0.45">
      <c r="R79" s="179"/>
      <c r="S79" s="166" t="str">
        <f>Arbejdsark!C239</f>
        <v>Inventar</v>
      </c>
      <c r="T79" s="166" t="str">
        <f>Arbejdsark!D239</f>
        <v>SOC1.6
Vægtning: SOC1.6 pkt. 2.2, 2.6 + 80% af 2.8</v>
      </c>
      <c r="U79" s="167">
        <f>Arbejdsark!E239</f>
        <v>6.6867469879518084E-3</v>
      </c>
      <c r="V79" s="168">
        <f>Y79*U79</f>
        <v>0</v>
      </c>
      <c r="W79" s="167">
        <f>IF(Projektforudsætninger!$B$14="Ja",Arbejdsark!R239,0%)</f>
        <v>0</v>
      </c>
      <c r="X79" s="169">
        <f>Y79*W79</f>
        <v>0</v>
      </c>
      <c r="Y79" s="170">
        <f>IF(Arbejdsark!N239=Arbejdsark!L240,Arbejdsark!M240,IF(Arbejdsark!N239=Arbejdsark!L241,Arbejdsark!M241,IF(Arbejdsark!N239=Arbejdsark!L242,Arbejdsark!M242,0)))</f>
        <v>0</v>
      </c>
    </row>
    <row r="80" spans="18:25" ht="15" customHeight="1" outlineLevel="1" x14ac:dyDescent="0.45">
      <c r="R80" s="179"/>
      <c r="S80" s="166" t="str">
        <f>Arbejdsark!C244</f>
        <v>Tryghed</v>
      </c>
      <c r="T80" s="166" t="str">
        <f>Arbejdsark!D244</f>
        <v>SOC1.7
Vægtning: SOC1.7 pkt 1.1 + pkt. 1.5</v>
      </c>
      <c r="U80" s="167">
        <f>Arbejdsark!E244</f>
        <v>3.6144578313253013E-3</v>
      </c>
      <c r="V80" s="168">
        <f>Y80*U80</f>
        <v>0</v>
      </c>
      <c r="W80" s="167">
        <f>IF(Projektforudsætninger!$B$14="Ja",Arbejdsark!R244,0%)</f>
        <v>0</v>
      </c>
      <c r="X80" s="169">
        <f>Y80*W80</f>
        <v>0</v>
      </c>
      <c r="Y80" s="170">
        <f>IF(Arbejdsark!N244=Arbejdsark!L245,Arbejdsark!M245,IF(Arbejdsark!N244=Arbejdsark!L246,Arbejdsark!M246,IF(Arbejdsark!N244=Arbejdsark!L247,Arbejdsark!M247,0)))</f>
        <v>0</v>
      </c>
    </row>
    <row r="81" spans="18:25" ht="15" customHeight="1" outlineLevel="1" x14ac:dyDescent="0.45">
      <c r="R81" s="179"/>
      <c r="S81" s="166"/>
      <c r="T81" s="166"/>
      <c r="U81" s="167"/>
      <c r="V81" s="168"/>
      <c r="W81" s="167"/>
      <c r="X81" s="169"/>
      <c r="Y81" s="170"/>
    </row>
    <row r="82" spans="18:25" ht="15" customHeight="1" outlineLevel="1" x14ac:dyDescent="0.45">
      <c r="R82" s="174" t="str">
        <f>Arbejdsark!A250</f>
        <v>Cyklister</v>
      </c>
      <c r="S82" s="175"/>
      <c r="T82" s="175"/>
      <c r="U82" s="176">
        <f>SUM(U83:U85)</f>
        <v>9.0361445783132526E-3</v>
      </c>
      <c r="V82" s="176">
        <f>SUM(V83:V85)</f>
        <v>0</v>
      </c>
      <c r="W82" s="176">
        <f>SUM(W83:W85)</f>
        <v>0</v>
      </c>
      <c r="X82" s="177">
        <f>SUM(X83:X85)</f>
        <v>0</v>
      </c>
      <c r="Y82" s="176">
        <f>SUM(Y83:Y85)</f>
        <v>0</v>
      </c>
    </row>
    <row r="83" spans="18:25" ht="15" customHeight="1" outlineLevel="1" x14ac:dyDescent="0.45">
      <c r="R83" s="178"/>
      <c r="S83" s="166" t="str">
        <f>Arbejdsark!C250</f>
        <v>Cykelfaciliteter</v>
      </c>
      <c r="T83" s="166" t="str">
        <f>Arbejdsark!D250</f>
        <v>SOC2.3
Vægtning: SOC2.3 pkt 1.3</v>
      </c>
      <c r="U83" s="167">
        <f>Arbejdsark!E250</f>
        <v>2.7108433734939759E-3</v>
      </c>
      <c r="V83" s="168">
        <f>Y83*U83</f>
        <v>0</v>
      </c>
      <c r="W83" s="167">
        <f>IF(Projektforudsætninger!$B$14="Ja",Arbejdsark!R250,0%)</f>
        <v>0</v>
      </c>
      <c r="X83" s="169">
        <f>Y83*W83</f>
        <v>0</v>
      </c>
      <c r="Y83" s="170">
        <f>IF(Arbejdsark!N250=Arbejdsark!L251,Arbejdsark!M251,IF(Arbejdsark!N250=Arbejdsark!L252,Arbejdsark!M252,IF(Arbejdsark!N250=Arbejdsark!L253,Arbejdsark!M253,0)))</f>
        <v>0</v>
      </c>
    </row>
    <row r="84" spans="18:25" ht="15" customHeight="1" outlineLevel="1" x14ac:dyDescent="0.45">
      <c r="R84" s="179"/>
      <c r="S84" s="166" t="str">
        <f>Arbejdsark!C255</f>
        <v>Placering af cykelparkering</v>
      </c>
      <c r="T84" s="166" t="str">
        <f>Arbejdsark!D255</f>
        <v>SOC2.3
Vægtning: SOC2.3 pkt 1.2.1 + 1.2.2</v>
      </c>
      <c r="U84" s="167">
        <f>Arbejdsark!E255</f>
        <v>2.7108433734939759E-3</v>
      </c>
      <c r="V84" s="168">
        <f>Y84*U84</f>
        <v>0</v>
      </c>
      <c r="W84" s="167">
        <f>IF(Projektforudsætninger!$B$14="Ja",Arbejdsark!R255,0%)</f>
        <v>0</v>
      </c>
      <c r="X84" s="169">
        <f>Y84*W84</f>
        <v>0</v>
      </c>
      <c r="Y84" s="170">
        <f>IF(Arbejdsark!N255=Arbejdsark!L256,Arbejdsark!M256,IF(Arbejdsark!N255=Arbejdsark!L257,Arbejdsark!M257,IF(Arbejdsark!N255=Arbejdsark!L258,Arbejdsark!M258,0)))</f>
        <v>0</v>
      </c>
    </row>
    <row r="85" spans="18:25" ht="15" customHeight="1" outlineLevel="1" x14ac:dyDescent="0.45">
      <c r="R85" s="179"/>
      <c r="S85" s="166" t="str">
        <f>Arbejdsark!C260</f>
        <v>Pladskrav til cykelparkering</v>
      </c>
      <c r="T85" s="166" t="str">
        <f>Arbejdsark!D260</f>
        <v>SOC2.3
Vægtning: SOC2.3 pkt 1.1</v>
      </c>
      <c r="U85" s="167">
        <f>Arbejdsark!E260</f>
        <v>3.6144578313253013E-3</v>
      </c>
      <c r="V85" s="168">
        <f>Y85*U85</f>
        <v>0</v>
      </c>
      <c r="W85" s="167">
        <f>IF(Projektforudsætninger!$B$14="Ja",Arbejdsark!R260,0%)</f>
        <v>0</v>
      </c>
      <c r="X85" s="169">
        <f>Y85*W85</f>
        <v>0</v>
      </c>
      <c r="Y85" s="170">
        <f>IF(Arbejdsark!N260=Arbejdsark!L261,Arbejdsark!M261,IF(Arbejdsark!N260=Arbejdsark!L262,Arbejdsark!M262,IF(Arbejdsark!N260=Arbejdsark!L263,Arbejdsark!M263,0)))</f>
        <v>0</v>
      </c>
    </row>
    <row r="86" spans="18:25" ht="15" customHeight="1" outlineLevel="1" x14ac:dyDescent="0.45">
      <c r="R86" s="179"/>
      <c r="S86" s="166"/>
      <c r="T86" s="166"/>
      <c r="U86" s="167"/>
      <c r="V86" s="168"/>
      <c r="W86" s="167"/>
      <c r="X86" s="169"/>
      <c r="Y86" s="170"/>
    </row>
    <row r="87" spans="18:25" ht="15" customHeight="1" outlineLevel="1" x14ac:dyDescent="0.45">
      <c r="R87" s="174" t="str">
        <f>Arbejdsark!A265</f>
        <v>Tryghed og sikkerhed</v>
      </c>
      <c r="S87" s="175"/>
      <c r="T87" s="175"/>
      <c r="U87" s="176">
        <f>SUM(U88:U89)</f>
        <v>1.1190917516218722E-2</v>
      </c>
      <c r="V87" s="176">
        <f>SUM(V88:V89)</f>
        <v>0</v>
      </c>
      <c r="W87" s="176">
        <f>SUM(W88:W89)</f>
        <v>0</v>
      </c>
      <c r="X87" s="177">
        <f>SUM(X88:X89)</f>
        <v>0</v>
      </c>
      <c r="Y87" s="176">
        <f>SUM(Y88:Y89)</f>
        <v>0</v>
      </c>
    </row>
    <row r="88" spans="18:25" ht="15" customHeight="1" outlineLevel="1" x14ac:dyDescent="0.45">
      <c r="R88" s="178"/>
      <c r="S88" s="166" t="str">
        <f>Arbejdsark!C265</f>
        <v>Udendørs belysning</v>
      </c>
      <c r="T88" s="166" t="str">
        <f>Arbejdsark!D265</f>
        <v>SOC1.7
Vægtning: SOC1.7 pkt 1.2, 1.3 og pkt. 1.4</v>
      </c>
      <c r="U88" s="167">
        <f>Arbejdsark!E265</f>
        <v>5.4216867469879517E-3</v>
      </c>
      <c r="V88" s="168">
        <f>Y88*U88</f>
        <v>0</v>
      </c>
      <c r="W88" s="167">
        <f>IF(Projektforudsætninger!$B$14="Ja",Arbejdsark!R265,0%)</f>
        <v>0</v>
      </c>
      <c r="X88" s="169">
        <f>Y88*W88</f>
        <v>0</v>
      </c>
      <c r="Y88" s="170">
        <f>IF(Arbejdsark!N265=Arbejdsark!L266,Arbejdsark!M266,IF(Arbejdsark!N265=Arbejdsark!L267,Arbejdsark!M267,IF(Arbejdsark!N265=Arbejdsark!L268,Arbejdsark!M268,0)))</f>
        <v>0</v>
      </c>
    </row>
    <row r="89" spans="18:25" ht="15" customHeight="1" outlineLevel="1" x14ac:dyDescent="0.45">
      <c r="R89" s="179"/>
      <c r="S89" s="166" t="str">
        <f>Arbejdsark!C270</f>
        <v>Forebyggelse af uheld</v>
      </c>
      <c r="T89" s="166" t="str">
        <f>Arbejdsark!D270</f>
        <v xml:space="preserve">TEC1.1 pkt. 3.6
</v>
      </c>
      <c r="U89" s="167">
        <f>Arbejdsark!E270</f>
        <v>5.7692307692307696E-3</v>
      </c>
      <c r="V89" s="168">
        <f>Y89*U89</f>
        <v>0</v>
      </c>
      <c r="W89" s="167">
        <f>IF(Projektforudsætninger!$B$14="Ja",Arbejdsark!R270,0%)</f>
        <v>0</v>
      </c>
      <c r="X89" s="169">
        <f>Y89*W89</f>
        <v>0</v>
      </c>
      <c r="Y89" s="170">
        <f>IF(Arbejdsark!N270=Arbejdsark!L271,Arbejdsark!M271,IF(Arbejdsark!N270=Arbejdsark!L272,Arbejdsark!M272,IF(Arbejdsark!N270=Arbejdsark!L273,Arbejdsark!M273,0)))</f>
        <v>0</v>
      </c>
    </row>
    <row r="90" spans="18:25" ht="15" customHeight="1" outlineLevel="1" x14ac:dyDescent="0.45">
      <c r="R90" s="179"/>
      <c r="S90" s="166"/>
      <c r="T90" s="166"/>
      <c r="U90" s="167"/>
      <c r="V90" s="168"/>
      <c r="W90" s="167"/>
      <c r="X90" s="169"/>
      <c r="Y90" s="170"/>
    </row>
    <row r="91" spans="18:25" ht="15" customHeight="1" outlineLevel="1" x14ac:dyDescent="0.45">
      <c r="R91" s="174" t="str">
        <f>Arbejdsark!A279</f>
        <v>Arkitektonisk kvalitet</v>
      </c>
      <c r="S91" s="175"/>
      <c r="T91" s="175"/>
      <c r="U91" s="176">
        <v>2.4E-2</v>
      </c>
      <c r="V91" s="176">
        <f>SUM(V92:V95)</f>
        <v>0</v>
      </c>
      <c r="W91" s="176">
        <f>IF(Projektforudsætninger!B14="Ja",'Sortering af spørgsmål'!E21,0)</f>
        <v>0</v>
      </c>
      <c r="X91" s="177">
        <f>Arbejdsark!R279*Arbejdsark!M280+Arbejdsark!R285</f>
        <v>0</v>
      </c>
      <c r="Y91" s="176">
        <v>2.4E-2</v>
      </c>
    </row>
    <row r="92" spans="18:25" ht="15" customHeight="1" outlineLevel="1" x14ac:dyDescent="0.45">
      <c r="R92" s="178"/>
      <c r="S92" s="166" t="str">
        <f>Arbejdsark!C279</f>
        <v>Udbudsform</v>
      </c>
      <c r="T92" s="166" t="str">
        <f>Arbejdsark!D279</f>
        <v>SOC3.1
Vægtning: SOC3.1 pkt. 1.1/2.1/3/4</v>
      </c>
      <c r="U92" s="167">
        <f>Arbejdsark!E279</f>
        <v>2.710843373493976E-2</v>
      </c>
      <c r="V92" s="168">
        <f>Y92*U92</f>
        <v>0</v>
      </c>
      <c r="W92" s="167">
        <f>IF(Projektforudsætninger!$B$14="Ja",Arbejdsark!R279,0%)</f>
        <v>0</v>
      </c>
      <c r="X92" s="169">
        <f>Y92*W92</f>
        <v>0</v>
      </c>
      <c r="Y92" s="170" t="b">
        <f>IF(Arbejdsark!$N$279=Arbejdsark!$L$280,Arbejdsark!$M$280,IF(Arbejdsark!$N$279=Arbejdsark!$L$281,Arbejdsark!$M$281,IF(Arbejdsark!$N$279=Arbejdsark!$L$282,Arbejdsark!$M$282,IF(Arbejdsark!$N$279=Arbejdsark!$L$283,Arbejdsark!$M$283))))</f>
        <v>0</v>
      </c>
    </row>
    <row r="93" spans="18:25" ht="15" customHeight="1" outlineLevel="1" x14ac:dyDescent="0.45">
      <c r="R93" s="179"/>
      <c r="S93" s="166"/>
      <c r="T93" s="166"/>
      <c r="U93" s="167">
        <f>Arbejdsark!E285</f>
        <v>1.0843373493975905E-2</v>
      </c>
      <c r="V93" s="168">
        <f>Y93*U93</f>
        <v>0</v>
      </c>
      <c r="W93" s="167">
        <f>IF(Projektforudsætninger!$B$14="Ja",Arbejdsark!R285,0%)</f>
        <v>0</v>
      </c>
      <c r="X93" s="169">
        <f>Y93*W93</f>
        <v>0</v>
      </c>
      <c r="Y93" s="170">
        <f>IF(Arbejdsark!$N$279=Arbejdsark!$L$280,IF(Arbejdsark!$N$285=Arbejdsark!$L$286,Arbejdsark!$M$286,IF(Arbejdsark!$N$285=Arbejdsark!$L$287,Arbejdsark!$M$287,0)),0)</f>
        <v>0</v>
      </c>
    </row>
    <row r="94" spans="18:25" ht="15" customHeight="1" outlineLevel="1" x14ac:dyDescent="0.45">
      <c r="R94" s="179"/>
      <c r="S94" s="166"/>
      <c r="T94" s="166"/>
      <c r="U94" s="167">
        <f>Arbejdsark!E289</f>
        <v>1.0843373493975905E-2</v>
      </c>
      <c r="V94" s="168">
        <f>Y94*U94</f>
        <v>0</v>
      </c>
      <c r="W94" s="167">
        <f>IF(Projektforudsætninger!$B$14="Ja",Arbejdsark!R289,0%)</f>
        <v>0</v>
      </c>
      <c r="X94" s="169">
        <f>Y94*W94</f>
        <v>0</v>
      </c>
      <c r="Y94" s="170">
        <f>IF(Arbejdsark!$N$279=Arbejdsark!$L$281,IF(Arbejdsark!$N$289=Arbejdsark!$L$290,Arbejdsark!$M$290,IF(Arbejdsark!$N$289=Arbejdsark!$L$291,Arbejdsark!$M$291,IF(Arbejdsark!$N$289=Arbejdsark!$L$292,Arbejdsark!$M$292,0))),0)</f>
        <v>0</v>
      </c>
    </row>
    <row r="95" spans="18:25" ht="15" customHeight="1" outlineLevel="1" x14ac:dyDescent="0.45">
      <c r="R95" s="179"/>
      <c r="S95" s="166"/>
      <c r="T95" s="166"/>
      <c r="U95" s="167">
        <f>Arbejdsark!E294</f>
        <v>1.0843373493975905E-2</v>
      </c>
      <c r="V95" s="168">
        <f>Y95*U95</f>
        <v>0</v>
      </c>
      <c r="W95" s="167">
        <f>IF(Projektforudsætninger!$B$14="Ja",Arbejdsark!R294,0%)</f>
        <v>0</v>
      </c>
      <c r="X95" s="169">
        <f>Y95*W95</f>
        <v>0</v>
      </c>
      <c r="Y95" s="170">
        <f>IF(Arbejdsark!$N$279=Arbejdsark!$L$281,IF(Arbejdsark!$N$294=Arbejdsark!$L$295,Arbejdsark!$M$295,IF(Arbejdsark!$N$294=Arbejdsark!$L$296,Arbejdsark!$M$296,IF(Arbejdsark!$N$294=Arbejdsark!$L$297,Arbejdsark!$M$297,0))),0)</f>
        <v>0</v>
      </c>
    </row>
    <row r="96" spans="18:25" ht="15" customHeight="1" outlineLevel="1" x14ac:dyDescent="0.45">
      <c r="R96" s="179"/>
      <c r="S96" s="166"/>
      <c r="T96" s="166"/>
      <c r="U96" s="167"/>
      <c r="V96" s="168"/>
      <c r="W96" s="167"/>
      <c r="X96" s="169"/>
      <c r="Y96" s="170"/>
    </row>
    <row r="97" spans="18:25" ht="15" customHeight="1" outlineLevel="1" x14ac:dyDescent="0.45">
      <c r="R97" s="174" t="str">
        <f>Arbejdsark!A300</f>
        <v>Plandisponering</v>
      </c>
      <c r="S97" s="175"/>
      <c r="T97" s="175"/>
      <c r="U97" s="176">
        <f>SUM(U98:U112)</f>
        <v>1.7981927710843375E-2</v>
      </c>
      <c r="V97" s="176">
        <f>SUM(V98:V112)</f>
        <v>0</v>
      </c>
      <c r="W97" s="176">
        <f>SUM(W98:W112)</f>
        <v>0</v>
      </c>
      <c r="X97" s="177">
        <f>SUM(X98:X112)</f>
        <v>0</v>
      </c>
      <c r="Y97" s="176">
        <f>SUM(Y98:Y112)</f>
        <v>0</v>
      </c>
    </row>
    <row r="98" spans="18:25" ht="15" customHeight="1" outlineLevel="1" x14ac:dyDescent="0.45">
      <c r="R98" s="179"/>
      <c r="S98" s="166" t="str">
        <f>Arbejdsark!C300</f>
        <v xml:space="preserve">Ejerforhold og boligtyper </v>
      </c>
      <c r="T98" s="166" t="str">
        <f>Arbejdsark!D300</f>
        <v>SOC3.3
Vægtning: SOC3.3 pkt. 1.1</v>
      </c>
      <c r="U98" s="167">
        <f>Arbejdsark!E300</f>
        <v>1.4457831325301205E-3</v>
      </c>
      <c r="V98" s="168">
        <f t="shared" ref="V98:V112" si="6">Y98*U98</f>
        <v>0</v>
      </c>
      <c r="W98" s="167">
        <f>IF(Projektforudsætninger!$B$14="Ja",Arbejdsark!R300,0%)</f>
        <v>0</v>
      </c>
      <c r="X98" s="169">
        <f t="shared" ref="X98:X112" si="7">Y98*W98</f>
        <v>0</v>
      </c>
      <c r="Y98" s="170">
        <f>IF(Arbejdsark!$N$300=Arbejdsark!$L$301,Arbejdsark!$M$301,IF(Arbejdsark!$N$300=Arbejdsark!$L$302,Arbejdsark!$M$302,IF(Arbejdsark!$N$300=Arbejdsark!$L$303,Arbejdsark!$M$303,0)))</f>
        <v>0</v>
      </c>
    </row>
    <row r="99" spans="18:25" ht="15" customHeight="1" outlineLevel="1" x14ac:dyDescent="0.45">
      <c r="R99" s="179"/>
      <c r="S99" s="166" t="str">
        <f>Arbejdsark!C306</f>
        <v>Fællesområder</v>
      </c>
      <c r="T99" s="166" t="str">
        <f>Arbejdsark!D306</f>
        <v>SOC3.3
Vægtning: SOC3.3 pkt. 1.2.1 + 1.2.2</v>
      </c>
      <c r="U99" s="167">
        <f>Arbejdsark!E306</f>
        <v>9.0361445783132533E-4</v>
      </c>
      <c r="V99" s="168">
        <f t="shared" si="6"/>
        <v>0</v>
      </c>
      <c r="W99" s="167">
        <f>IF(Projektforudsætninger!$B$14="Ja",Arbejdsark!R306,0%)</f>
        <v>0</v>
      </c>
      <c r="X99" s="169">
        <f t="shared" si="7"/>
        <v>0</v>
      </c>
      <c r="Y99" s="170">
        <f>IF(Arbejdsark!$N$306=Arbejdsark!$L$307,Arbejdsark!$M$307,IF(Arbejdsark!$N$306=Arbejdsark!$L$308,Arbejdsark!$M$308,IF(Arbejdsark!$N$306=Arbejdsark!$L$309,Arbejdsark!$M$309,0)))</f>
        <v>0</v>
      </c>
    </row>
    <row r="100" spans="18:25" ht="15" customHeight="1" outlineLevel="1" x14ac:dyDescent="0.45">
      <c r="R100" s="179"/>
      <c r="S100" s="166" t="str">
        <f>Arbejdsark!C311</f>
        <v>Adgangszoner/entréområder</v>
      </c>
      <c r="T100" s="166" t="str">
        <f>Arbejdsark!D311</f>
        <v>SOC3.3
Vægtning: SOC3.3 pkt. 2.2</v>
      </c>
      <c r="U100" s="167">
        <f>Arbejdsark!E311</f>
        <v>1.3554216867469879E-3</v>
      </c>
      <c r="V100" s="168">
        <f t="shared" si="6"/>
        <v>0</v>
      </c>
      <c r="W100" s="167">
        <f>IF(Projektforudsætninger!$B$14="Ja",Arbejdsark!R311,0%)</f>
        <v>0</v>
      </c>
      <c r="X100" s="169">
        <f t="shared" si="7"/>
        <v>0</v>
      </c>
      <c r="Y100" s="170">
        <f>IF(Arbejdsark!$N$311=Arbejdsark!$L$312,Arbejdsark!$M$312,IF(Arbejdsark!$N$311=Arbejdsark!$L$313,Arbejdsark!$M$313,IF(Arbejdsark!$N$311=Arbejdsark!$L$314,Arbejdsark!$M$314,0)))</f>
        <v>0</v>
      </c>
    </row>
    <row r="101" spans="18:25" ht="15" customHeight="1" outlineLevel="1" x14ac:dyDescent="0.45">
      <c r="R101" s="179"/>
      <c r="S101" s="166" t="str">
        <f>Arbejdsark!C316</f>
        <v xml:space="preserve">Udlån af lokaler </v>
      </c>
      <c r="T101" s="166" t="str">
        <f>Arbejdsark!D316</f>
        <v>SOC3.3
Vægtning: SOC3.3 pkt. 1.2.3</v>
      </c>
      <c r="U101" s="167">
        <f>Arbejdsark!E316</f>
        <v>8.1325301204819274E-4</v>
      </c>
      <c r="V101" s="168">
        <f t="shared" si="6"/>
        <v>0</v>
      </c>
      <c r="W101" s="167">
        <f>IF(Projektforudsætninger!$B$14="Ja",Arbejdsark!R316,0%)</f>
        <v>0</v>
      </c>
      <c r="X101" s="169">
        <f t="shared" si="7"/>
        <v>0</v>
      </c>
      <c r="Y101" s="170">
        <f>IF(Arbejdsark!$N$316=Arbejdsark!$L$317,Arbejdsark!$M$317,IF(Arbejdsark!$N$316=Arbejdsark!$L$318,Arbejdsark!$M$318,IF(Arbejdsark!$N$316=Arbejdsark!$L$319,Arbejdsark!$M$319,0)))</f>
        <v>0</v>
      </c>
    </row>
    <row r="102" spans="18:25" ht="15" customHeight="1" outlineLevel="1" x14ac:dyDescent="0.45">
      <c r="R102" s="179"/>
      <c r="S102" s="166" t="str">
        <f>Arbejdsark!C321</f>
        <v>Vaske-/tørrefaciliteter</v>
      </c>
      <c r="T102" s="166" t="str">
        <f>Arbejdsark!D321</f>
        <v>SOC3.3
Vægtning: SOC3.3 pkt. 1.2.3</v>
      </c>
      <c r="U102" s="167">
        <f>Arbejdsark!E321</f>
        <v>8.1325301204819274E-4</v>
      </c>
      <c r="V102" s="168">
        <f t="shared" si="6"/>
        <v>0</v>
      </c>
      <c r="W102" s="167">
        <f>IF(Projektforudsætninger!$B$14="Ja",Arbejdsark!R321,0%)</f>
        <v>0</v>
      </c>
      <c r="X102" s="169">
        <f t="shared" si="7"/>
        <v>0</v>
      </c>
      <c r="Y102" s="170">
        <f>IF(Arbejdsark!$N$321=Arbejdsark!$L$322,Arbejdsark!$M$322,IF(Arbejdsark!$N$321=Arbejdsark!$L$323,Arbejdsark!$M$323,IF(Arbejdsark!$N$321=Arbejdsark!$L$324,Arbejdsark!$M$324,0)))</f>
        <v>0</v>
      </c>
    </row>
    <row r="103" spans="18:25" ht="15" customHeight="1" outlineLevel="1" x14ac:dyDescent="0.45">
      <c r="R103" s="179"/>
      <c r="S103" s="166" t="str">
        <f>Arbejdsark!C326</f>
        <v>Tv, radio og internet</v>
      </c>
      <c r="T103" s="166" t="str">
        <f>Arbejdsark!D326</f>
        <v>SOC3.3
Vægtning: SOC3.3 pkt. 2.8</v>
      </c>
      <c r="U103" s="167">
        <f>Arbejdsark!E326</f>
        <v>9.0361445783132533E-4</v>
      </c>
      <c r="V103" s="168">
        <f t="shared" si="6"/>
        <v>0</v>
      </c>
      <c r="W103" s="167">
        <f>IF(Projektforudsætninger!$B$14="Ja",Arbejdsark!R326,0%)</f>
        <v>0</v>
      </c>
      <c r="X103" s="169">
        <f t="shared" si="7"/>
        <v>0</v>
      </c>
      <c r="Y103" s="170">
        <f>IF(Arbejdsark!$N$326=Arbejdsark!$L$327,Arbejdsark!$M$327,IF(Arbejdsark!$N$326=Arbejdsark!$L$328,Arbejdsark!$M$328,IF(Arbejdsark!$N$326=Arbejdsark!$L$329,Arbejdsark!$M$329,0)))</f>
        <v>0</v>
      </c>
    </row>
    <row r="104" spans="18:25" ht="15" customHeight="1" outlineLevel="1" x14ac:dyDescent="0.45">
      <c r="R104" s="179"/>
      <c r="S104" s="166" t="str">
        <f>Arbejdsark!C331</f>
        <v>Adskillelse af soverum og opholdsrum</v>
      </c>
      <c r="T104" s="166" t="str">
        <f>Arbejdsark!D331</f>
        <v>SOC3.3
Vægtning: SOC3.3 pkt. 2.1</v>
      </c>
      <c r="U104" s="167">
        <f>Arbejdsark!E331</f>
        <v>1.3554216867469879E-3</v>
      </c>
      <c r="V104" s="168">
        <f t="shared" si="6"/>
        <v>0</v>
      </c>
      <c r="W104" s="167">
        <f>IF(Projektforudsætninger!$B$14="Ja",Arbejdsark!R331,0%)</f>
        <v>0</v>
      </c>
      <c r="X104" s="169">
        <f t="shared" si="7"/>
        <v>0</v>
      </c>
      <c r="Y104" s="170">
        <f>IF(Arbejdsark!$N$331=Arbejdsark!$L$332,Arbejdsark!$M$332,IF(Arbejdsark!$N$331=Arbejdsark!$L$333,Arbejdsark!$M$333,IF(Arbejdsark!$N$331=Arbejdsark!$L$334,Arbejdsark!$M$334,0)))</f>
        <v>0</v>
      </c>
    </row>
    <row r="105" spans="18:25" ht="15" customHeight="1" outlineLevel="1" x14ac:dyDescent="0.45">
      <c r="R105" s="179"/>
      <c r="S105" s="166" t="str">
        <f>Arbejdsark!C336</f>
        <v>Toilet og baderum (tilgængelighed)</v>
      </c>
      <c r="T105" s="166" t="str">
        <f>Arbejdsark!D336</f>
        <v>SOC3.3 
Vægtning: SOC3.3 pkt. 2.1.1</v>
      </c>
      <c r="U105" s="167">
        <f>Arbejdsark!E336</f>
        <v>9.0361445783132533E-4</v>
      </c>
      <c r="V105" s="168">
        <f t="shared" si="6"/>
        <v>0</v>
      </c>
      <c r="W105" s="167">
        <f>IF(Projektforudsætninger!$B$14="Ja",Arbejdsark!R336,0%)</f>
        <v>0</v>
      </c>
      <c r="X105" s="169">
        <f t="shared" si="7"/>
        <v>0</v>
      </c>
      <c r="Y105" s="170">
        <f>IF(Arbejdsark!$N$336=Arbejdsark!$L$337,Arbejdsark!$M$337,IF(Arbejdsark!$N$336=Arbejdsark!$L$338,Arbejdsark!$M$338,IF(Arbejdsark!$N$336=Arbejdsark!$L$339,Arbejdsark!$M$339,0)))</f>
        <v>0</v>
      </c>
    </row>
    <row r="106" spans="18:25" ht="15" customHeight="1" outlineLevel="1" x14ac:dyDescent="0.45">
      <c r="R106" s="179"/>
      <c r="S106" s="166" t="str">
        <f>Arbejdsark!C341</f>
        <v>Indretningsmuligheder</v>
      </c>
      <c r="T106" s="166" t="str">
        <f>Arbejdsark!D341</f>
        <v>SOC3.3
Vægtning: SOC3.3 pkt. 2.6</v>
      </c>
      <c r="U106" s="167">
        <f>Arbejdsark!E341</f>
        <v>1.3554216867469879E-3</v>
      </c>
      <c r="V106" s="168">
        <f t="shared" si="6"/>
        <v>0</v>
      </c>
      <c r="W106" s="167">
        <f>IF(Projektforudsætninger!$B$14="Ja",Arbejdsark!R341,0%)</f>
        <v>0</v>
      </c>
      <c r="X106" s="169">
        <f t="shared" si="7"/>
        <v>0</v>
      </c>
      <c r="Y106" s="170">
        <f>IF(Arbejdsark!$N$341=Arbejdsark!$L$342,Arbejdsark!$M$342,IF(Arbejdsark!$N$341=Arbejdsark!$L$343,Arbejdsark!$M$343,IF(Arbejdsark!$N$341=Arbejdsark!$L$344,Arbejdsark!$M$344,0)))</f>
        <v>0</v>
      </c>
    </row>
    <row r="107" spans="18:25" ht="15" customHeight="1" outlineLevel="1" x14ac:dyDescent="0.45">
      <c r="R107" s="179"/>
      <c r="S107" s="166" t="str">
        <f>Arbejdsark!C346</f>
        <v xml:space="preserve">Placering af køkken </v>
      </c>
      <c r="T107" s="166" t="str">
        <f>Arbejdsark!D346</f>
        <v>SOC3.3
Vægtning: 50% SOC3.3 pkt. 2.3</v>
      </c>
      <c r="U107" s="189">
        <f>Arbejdsark!E346</f>
        <v>1.1295180722891566E-3</v>
      </c>
      <c r="V107" s="168">
        <f t="shared" si="6"/>
        <v>0</v>
      </c>
      <c r="W107" s="167">
        <f>IF(Projektforudsætninger!$B$14="Ja",Arbejdsark!R346,0%)</f>
        <v>0</v>
      </c>
      <c r="X107" s="169">
        <f t="shared" si="7"/>
        <v>0</v>
      </c>
      <c r="Y107" s="170">
        <f>IF(Arbejdsark!$N$346=Arbejdsark!$L$347,Arbejdsark!$M$347,IF(Arbejdsark!$N$346=Arbejdsark!$L$348,Arbejdsark!$M$348,IF(Arbejdsark!$N$346=Arbejdsark!$L$349,Arbejdsark!$M$349,0)))</f>
        <v>0</v>
      </c>
    </row>
    <row r="108" spans="18:25" ht="15" customHeight="1" outlineLevel="1" x14ac:dyDescent="0.45">
      <c r="R108" s="179"/>
      <c r="S108" s="166" t="str">
        <f>Arbejdsark!C351</f>
        <v>Placering af bad</v>
      </c>
      <c r="T108" s="166" t="str">
        <f>Arbejdsark!D351</f>
        <v>SOC3.3
Vægtning: 50% SOC3.3 pkt. 2.3</v>
      </c>
      <c r="U108" s="189">
        <f>Arbejdsark!E351</f>
        <v>1.1295180722891566E-3</v>
      </c>
      <c r="V108" s="168">
        <f t="shared" si="6"/>
        <v>0</v>
      </c>
      <c r="W108" s="167">
        <f>IF(Projektforudsætninger!$B$14="Ja",Arbejdsark!R351,0%)</f>
        <v>0</v>
      </c>
      <c r="X108" s="169">
        <f t="shared" si="7"/>
        <v>0</v>
      </c>
      <c r="Y108" s="170">
        <f>IF(Arbejdsark!$N$351=Arbejdsark!$L$352,Arbejdsark!$M$352,IF(Arbejdsark!$N$351=Arbejdsark!$L$353,Arbejdsark!$M$353,IF(Arbejdsark!$N$351=Arbejdsark!$L$354,Arbejdsark!$M$354,0)))</f>
        <v>0</v>
      </c>
    </row>
    <row r="109" spans="18:25" ht="15" customHeight="1" outlineLevel="1" x14ac:dyDescent="0.45">
      <c r="R109" s="179"/>
      <c r="S109" s="166" t="str">
        <f>Arbejdsark!C356</f>
        <v>Garderobe og opbevaringsmuligheder</v>
      </c>
      <c r="T109" s="166" t="str">
        <f>Arbejdsark!D356</f>
        <v>SOC3.3
Vægtning: SOC3.3 pkt. 2.7</v>
      </c>
      <c r="U109" s="167">
        <f>Arbejdsark!E356</f>
        <v>1.8072289156626507E-3</v>
      </c>
      <c r="V109" s="168">
        <f t="shared" si="6"/>
        <v>0</v>
      </c>
      <c r="W109" s="167">
        <f>IF(Projektforudsætninger!$B$14="Ja",Arbejdsark!R356,0%)</f>
        <v>0</v>
      </c>
      <c r="X109" s="169">
        <f t="shared" si="7"/>
        <v>0</v>
      </c>
      <c r="Y109" s="170">
        <f>IF(Arbejdsark!$N$356=Arbejdsark!$L$357,Arbejdsark!$M$357,IF(Arbejdsark!$N$356=Arbejdsark!$L$358,Arbejdsark!$M$358,IF(Arbejdsark!$N$356=Arbejdsark!$L$359,Arbejdsark!$M$359,0)))</f>
        <v>0</v>
      </c>
    </row>
    <row r="110" spans="18:25" ht="15" customHeight="1" outlineLevel="1" x14ac:dyDescent="0.45">
      <c r="R110" s="179"/>
      <c r="S110" s="166" t="str">
        <f>Arbejdsark!C361</f>
        <v>Indkig</v>
      </c>
      <c r="T110" s="166" t="str">
        <f>Arbejdsark!D361</f>
        <v>SOC3.3
Vægtning: SOC3.3 pkt. 2.4.3</v>
      </c>
      <c r="U110" s="167">
        <f>Arbejdsark!E361</f>
        <v>1.3554216867469879E-3</v>
      </c>
      <c r="V110" s="168">
        <f t="shared" si="6"/>
        <v>0</v>
      </c>
      <c r="W110" s="167">
        <f>IF(Projektforudsætninger!$B$14="Ja",Arbejdsark!R361,0%)</f>
        <v>0</v>
      </c>
      <c r="X110" s="169">
        <f t="shared" si="7"/>
        <v>0</v>
      </c>
      <c r="Y110" s="170">
        <f>IF(Arbejdsark!$N$361=Arbejdsark!$L$362,Arbejdsark!$M$362,IF(Arbejdsark!$N$361=Arbejdsark!$L$363,Arbejdsark!$M$363,IF(Arbejdsark!$N$361=Arbejdsark!$L$364,Arbejdsark!$M$364,0)))</f>
        <v>0</v>
      </c>
    </row>
    <row r="111" spans="18:25" ht="15" customHeight="1" outlineLevel="1" x14ac:dyDescent="0.45">
      <c r="R111" s="179"/>
      <c r="S111" s="166">
        <f>Arbejdsark!C367</f>
        <v>0</v>
      </c>
      <c r="T111" s="166" t="str">
        <f>Arbejdsark!D367</f>
        <v>Vægtning: SOC3.3 pkt. 2.4.1 + 2.4.2</v>
      </c>
      <c r="U111" s="167">
        <f>Arbejdsark!E367</f>
        <v>1.8072289156626507E-3</v>
      </c>
      <c r="V111" s="168">
        <f t="shared" si="6"/>
        <v>0</v>
      </c>
      <c r="W111" s="167">
        <f>IF(Projektforudsætninger!$B$14="Ja",Arbejdsark!R367,0%)</f>
        <v>0</v>
      </c>
      <c r="X111" s="169">
        <f t="shared" si="7"/>
        <v>0</v>
      </c>
      <c r="Y111" s="170">
        <f>IF(Arbejdsark!$N$366=Arbejdsark!$L$367,Arbejdsark!$M$367,IF(Arbejdsark!$N$366=Arbejdsark!$L$368,Arbejdsark!$M$368,IF(Arbejdsark!$N$366=Arbejdsark!$L$369,Arbejdsark!$M$369,0)))</f>
        <v>0</v>
      </c>
    </row>
    <row r="112" spans="18:25" ht="15" customHeight="1" outlineLevel="1" x14ac:dyDescent="0.45">
      <c r="R112" s="179"/>
      <c r="S112" s="166" t="str">
        <f>Arbejdsark!C371</f>
        <v>Adgangsveje til udearealer fra boligen</v>
      </c>
      <c r="T112" s="166" t="str">
        <f>Arbejdsark!D371</f>
        <v>SOC3.3
Vægtning: SOC3.3 pkt. 2.4.4</v>
      </c>
      <c r="U112" s="167">
        <f>Arbejdsark!E371</f>
        <v>9.0361445783132533E-4</v>
      </c>
      <c r="V112" s="168">
        <f t="shared" si="6"/>
        <v>0</v>
      </c>
      <c r="W112" s="167">
        <f>IF(Projektforudsætninger!$B$14="Ja",Arbejdsark!R371,0%)</f>
        <v>0</v>
      </c>
      <c r="X112" s="169">
        <f t="shared" si="7"/>
        <v>0</v>
      </c>
      <c r="Y112" s="170">
        <f>IF(Arbejdsark!$N$371=Arbejdsark!$L$372,Arbejdsark!$M$372,IF(Arbejdsark!$N$371=Arbejdsark!$L$373,Arbejdsark!$M$373,IF(Arbejdsark!$N$371=Arbejdsark!$L$374,Arbejdsark!$M$374,0)))</f>
        <v>0</v>
      </c>
    </row>
    <row r="113" spans="14:27" ht="15" customHeight="1" outlineLevel="1" x14ac:dyDescent="0.45">
      <c r="R113" s="179"/>
      <c r="S113" s="166"/>
      <c r="T113" s="166"/>
      <c r="U113" s="167"/>
      <c r="V113" s="168"/>
      <c r="W113" s="167"/>
      <c r="X113" s="169"/>
      <c r="Y113" s="170"/>
    </row>
    <row r="114" spans="14:27" ht="15" customHeight="1" outlineLevel="1" thickBot="1" x14ac:dyDescent="0.5">
      <c r="R114" s="187"/>
      <c r="S114" s="181"/>
      <c r="T114" s="181"/>
      <c r="U114" s="182"/>
      <c r="V114" s="183"/>
      <c r="W114" s="182"/>
      <c r="X114" s="184"/>
      <c r="Y114" s="185"/>
    </row>
    <row r="115" spans="14:27" ht="15" customHeight="1" outlineLevel="1" thickBot="1" x14ac:dyDescent="0.5">
      <c r="R115" s="149" t="str">
        <f>Arbejdsark!A376</f>
        <v>TEKNISK KVALITET</v>
      </c>
      <c r="S115" s="150"/>
      <c r="T115" s="150"/>
      <c r="U115" s="195">
        <f>SUM(U116,U119,U123,U126,U130,U139)+U147</f>
        <v>0.20297822451650427</v>
      </c>
      <c r="V115" s="195">
        <f>SUM(V116,V119,V123,V126,V130,V139)+V147</f>
        <v>0</v>
      </c>
      <c r="W115" s="195">
        <f>SUM(W116,W119,W123,W126,W130,W139)+W147</f>
        <v>0</v>
      </c>
      <c r="X115" s="158">
        <f>SUM(X116,X119,X123,X126,X130,X139)+X147</f>
        <v>0</v>
      </c>
      <c r="Y115" s="151"/>
    </row>
    <row r="116" spans="14:27" ht="15" customHeight="1" outlineLevel="1" x14ac:dyDescent="0.45">
      <c r="R116" s="196" t="s">
        <v>205</v>
      </c>
      <c r="S116" s="197"/>
      <c r="T116" s="197"/>
      <c r="U116" s="198">
        <f>SUM(U117)</f>
        <v>1.7307692307692309E-2</v>
      </c>
      <c r="V116" s="198">
        <f>SUM(V117)</f>
        <v>0</v>
      </c>
      <c r="W116" s="198">
        <f>SUM(W117)</f>
        <v>0</v>
      </c>
      <c r="X116" s="199">
        <f>SUM(X117)</f>
        <v>0</v>
      </c>
      <c r="Y116" s="198">
        <f>SUM(Y117)</f>
        <v>0</v>
      </c>
    </row>
    <row r="117" spans="14:27" ht="15" customHeight="1" outlineLevel="1" x14ac:dyDescent="0.45">
      <c r="R117" s="190"/>
      <c r="S117" s="166" t="str">
        <f>Arbejdsark!C4</f>
        <v>Mulighed for genbrug ved ombygning og bortskaffelse</v>
      </c>
      <c r="T117" s="166" t="str">
        <f>Arbejdsark!D4</f>
        <v>TEC1.6</v>
      </c>
      <c r="U117" s="167">
        <f>Arbejdsark!E4</f>
        <v>1.7307692307692309E-2</v>
      </c>
      <c r="V117" s="168">
        <f>Y117*U117</f>
        <v>0</v>
      </c>
      <c r="W117" s="167">
        <f>IF(Projektforudsætninger!$B$14="Ja",Arbejdsark!R4,0%)</f>
        <v>0</v>
      </c>
      <c r="X117" s="169">
        <f>Y117*W117</f>
        <v>0</v>
      </c>
      <c r="Y117" s="170">
        <f>IF(Arbejdsark!$N$4=Arbejdsark!$L$5,Arbejdsark!$M$5,IF(Arbejdsark!$N$4=Arbejdsark!$L$6,Arbejdsark!$M$6,IF(Arbejdsark!$N$4=Arbejdsark!$L$7,Arbejdsark!$M$7,0)))</f>
        <v>0</v>
      </c>
    </row>
    <row r="118" spans="14:27" ht="15" customHeight="1" outlineLevel="1" x14ac:dyDescent="0.45">
      <c r="R118" s="190"/>
      <c r="S118" s="191"/>
      <c r="T118" s="191"/>
      <c r="U118" s="192"/>
      <c r="V118" s="192"/>
      <c r="W118" s="192"/>
      <c r="X118" s="193"/>
      <c r="Y118" s="194"/>
    </row>
    <row r="119" spans="14:27" ht="15" customHeight="1" outlineLevel="1" x14ac:dyDescent="0.45">
      <c r="R119" s="174" t="str">
        <f>Arbejdsark!A114</f>
        <v>Fleksibilitet</v>
      </c>
      <c r="S119" s="175"/>
      <c r="T119" s="175"/>
      <c r="U119" s="176">
        <f>SUM(U120:U121)</f>
        <v>1.3170532208811982E-2</v>
      </c>
      <c r="V119" s="176">
        <f>SUM(V120:V121)</f>
        <v>0</v>
      </c>
      <c r="W119" s="176">
        <f>SUM(W120:W121)</f>
        <v>0</v>
      </c>
      <c r="X119" s="177">
        <f>SUM(X120:X121)</f>
        <v>0</v>
      </c>
      <c r="Y119" s="176">
        <f>SUM(Y120:Y121)</f>
        <v>0</v>
      </c>
    </row>
    <row r="120" spans="14:27" ht="15" customHeight="1" outlineLevel="1" x14ac:dyDescent="0.45">
      <c r="R120" s="190"/>
      <c r="S120" s="166" t="str">
        <f>Arbejdsark!C139</f>
        <v xml:space="preserve">Installationer - føring </v>
      </c>
      <c r="T120" s="166" t="str">
        <f>Arbejdsark!D139</f>
        <v>ECO2.1 + TEC1.4
Vægtning: ECO2.1 pkt. 7.1, 7.2 og 7.3 + TEC1.4 pkt. 1.1, 1.2 og 1.3</v>
      </c>
      <c r="U120" s="167">
        <f>Arbejdsark!E139*0.5/2.3</f>
        <v>5.3820706703504428E-3</v>
      </c>
      <c r="V120" s="168">
        <f>Y120*U120</f>
        <v>0</v>
      </c>
      <c r="W120" s="167">
        <f>IF(Projektforudsætninger!$B$14="Ja",Arbejdsark!R139*0.5/2.3,0%)</f>
        <v>0</v>
      </c>
      <c r="X120" s="169">
        <f>Y120*W120</f>
        <v>0</v>
      </c>
      <c r="Y120" s="170">
        <f>IF(Arbejdsark!$N$139=Arbejdsark!$L$140,Arbejdsark!$M$140,IF(Arbejdsark!$N$139=Arbejdsark!$L$141,Arbejdsark!$M$141,IF(Arbejdsark!$N$139=Arbejdsark!$L$142,Arbejdsark!$M$142,0)))</f>
        <v>0</v>
      </c>
    </row>
    <row r="121" spans="14:27" ht="15" customHeight="1" outlineLevel="1" x14ac:dyDescent="0.45">
      <c r="R121" s="190"/>
      <c r="S121" s="166" t="str">
        <f>Arbejdsark!C144</f>
        <v>Installationer - overkapacitet</v>
      </c>
      <c r="T121" s="166" t="str">
        <f>Arbejdsark!D144</f>
        <v>Vægtning: TEC1.4 pkt. 1.4.1, 1.4.2, 1.4.3, 2.1 og 2.2</v>
      </c>
      <c r="U121" s="167">
        <f>Arbejdsark!E144</f>
        <v>7.7884615384615392E-3</v>
      </c>
      <c r="V121" s="168">
        <f>Y121*U121</f>
        <v>0</v>
      </c>
      <c r="W121" s="167">
        <f>IF(Projektforudsætninger!$B$14="Ja",Arbejdsark!R144,0%)</f>
        <v>0</v>
      </c>
      <c r="X121" s="169">
        <f>Y121*W121</f>
        <v>0</v>
      </c>
      <c r="Y121" s="170">
        <f>IF(Arbejdsark!$N$144=Arbejdsark!$L$145,Arbejdsark!$M$145,IF(Arbejdsark!$N$144=Arbejdsark!$L$146,Arbejdsark!$M$146,IF(Arbejdsark!$N$144=Arbejdsark!$L$147,Arbejdsark!$M$147,0)))</f>
        <v>0</v>
      </c>
    </row>
    <row r="122" spans="14:27" ht="15" customHeight="1" outlineLevel="1" x14ac:dyDescent="0.45">
      <c r="R122" s="190"/>
      <c r="S122" s="191"/>
      <c r="T122" s="191"/>
      <c r="U122" s="192"/>
      <c r="V122" s="192"/>
      <c r="W122" s="192"/>
      <c r="X122" s="193"/>
      <c r="Y122" s="194"/>
    </row>
    <row r="123" spans="14:27" ht="15" customHeight="1" outlineLevel="1" x14ac:dyDescent="0.45">
      <c r="R123" s="174" t="str">
        <f>Arbejdsark!A167</f>
        <v>Indeklima</v>
      </c>
      <c r="S123" s="175"/>
      <c r="T123" s="175"/>
      <c r="U123" s="176">
        <f>SUM(U124)</f>
        <v>3.4615384615384617E-2</v>
      </c>
      <c r="V123" s="176">
        <f>SUM(V124)</f>
        <v>0</v>
      </c>
      <c r="W123" s="176">
        <f>SUM(W124)</f>
        <v>0</v>
      </c>
      <c r="X123" s="177">
        <f>SUM(X124)</f>
        <v>0</v>
      </c>
      <c r="Y123" s="176">
        <f>SUM(Y124)</f>
        <v>0</v>
      </c>
    </row>
    <row r="124" spans="14:27" ht="15" customHeight="1" outlineLevel="1" x14ac:dyDescent="0.45">
      <c r="R124" s="190"/>
      <c r="S124" s="166" t="str">
        <f>Arbejdsark!C182</f>
        <v xml:space="preserve">Lyd </v>
      </c>
      <c r="T124" s="166" t="str">
        <f>Arbejdsark!D182</f>
        <v>TEC1.2</v>
      </c>
      <c r="U124" s="167">
        <f>Arbejdsark!E182</f>
        <v>3.4615384615384617E-2</v>
      </c>
      <c r="V124" s="168">
        <f>Y124*U124</f>
        <v>0</v>
      </c>
      <c r="W124" s="167">
        <f>IF(Projektforudsætninger!$B$14="Ja",Arbejdsark!R182,0%)</f>
        <v>0</v>
      </c>
      <c r="X124" s="169">
        <f>Y124*W124</f>
        <v>0</v>
      </c>
      <c r="Y124" s="170">
        <f>IF(Arbejdsark!N182=Arbejdsark!L183,Arbejdsark!M183,IF(Arbejdsark!N182=Arbejdsark!L184,Arbejdsark!M184,IF(Arbejdsark!N182=Arbejdsark!L185,Arbejdsark!M185,0)))</f>
        <v>0</v>
      </c>
    </row>
    <row r="125" spans="14:27" ht="15" customHeight="1" outlineLevel="1" x14ac:dyDescent="0.45">
      <c r="R125" s="190"/>
      <c r="S125" s="191"/>
      <c r="T125" s="191"/>
      <c r="U125" s="192"/>
      <c r="V125" s="192"/>
      <c r="W125" s="192"/>
      <c r="X125" s="193"/>
      <c r="Y125" s="194"/>
    </row>
    <row r="126" spans="14:27" ht="15" customHeight="1" outlineLevel="1" x14ac:dyDescent="0.45">
      <c r="R126" s="174" t="str">
        <f>Arbejdsark!A378</f>
        <v>Personsikkerhed</v>
      </c>
      <c r="S126" s="175"/>
      <c r="T126" s="175"/>
      <c r="U126" s="176">
        <f>SUM(U127)</f>
        <v>2.8846153846153848E-2</v>
      </c>
      <c r="V126" s="176">
        <f>SUM(V127)</f>
        <v>0</v>
      </c>
      <c r="W126" s="176">
        <f>SUM(W127)</f>
        <v>0</v>
      </c>
      <c r="X126" s="177">
        <f>SUM(X127)</f>
        <v>0</v>
      </c>
      <c r="Y126" s="176">
        <f>SUM(Y127)</f>
        <v>0</v>
      </c>
    </row>
    <row r="127" spans="14:27" ht="15" customHeight="1" outlineLevel="1" x14ac:dyDescent="0.45">
      <c r="R127" s="178"/>
      <c r="S127" s="166" t="str">
        <f>Arbejdsark!C378</f>
        <v>Brandsikkerhed</v>
      </c>
      <c r="T127" s="166" t="str">
        <f>Arbejdsark!D378</f>
        <v>TEC1.1</v>
      </c>
      <c r="U127" s="167">
        <f>Arbejdsark!E378</f>
        <v>2.8846153846153848E-2</v>
      </c>
      <c r="V127" s="168">
        <f>Y127*U127</f>
        <v>0</v>
      </c>
      <c r="W127" s="167">
        <f>IF(Projektforudsætninger!$B$14="Ja",Arbejdsark!R378,0%)</f>
        <v>0</v>
      </c>
      <c r="X127" s="169">
        <f>Y127*W127</f>
        <v>0</v>
      </c>
      <c r="Y127" s="170">
        <f>IF(Arbejdsark!$N$378=Arbejdsark!$L$379,Arbejdsark!$M$379,IF(Arbejdsark!$N$378=Arbejdsark!$L$380,Arbejdsark!$M$380,IF(Arbejdsark!$N$378=Arbejdsark!$L$381,Arbejdsark!$M$381,0)))</f>
        <v>0</v>
      </c>
    </row>
    <row r="128" spans="14:27" ht="15" customHeight="1" outlineLevel="1" x14ac:dyDescent="0.45">
      <c r="N128" s="295"/>
      <c r="O128" s="295"/>
      <c r="P128" s="295"/>
      <c r="Q128" s="295"/>
      <c r="R128" s="178"/>
      <c r="S128" s="166" t="str">
        <f>Arbejdsark!C383</f>
        <v>Indbrudssikring og kriminalpræventive tiltag</v>
      </c>
      <c r="T128" s="166" t="str">
        <f>Arbejdsark!D383</f>
        <v>TEC1.1
Vægtning: TEC1.1 pkt 3.2.</v>
      </c>
      <c r="U128" s="167">
        <f>Arbejdsark!E383</f>
        <v>5.7692307692307696E-3</v>
      </c>
      <c r="V128" s="168">
        <f>Y128*U128</f>
        <v>0</v>
      </c>
      <c r="W128" s="167">
        <f>IF(Projektforudsætninger!$B$14="Ja",Arbejdsark!X383,0%)</f>
        <v>0</v>
      </c>
      <c r="X128" s="169">
        <f>Y128*W128</f>
        <v>0</v>
      </c>
      <c r="Y128" s="170">
        <f>IF(Arbejdsark!$N$383=Arbejdsark!$L$384,Arbejdsark!$M$384,IF(Arbejdsark!$N$383=Arbejdsark!$L$385,Arbejdsark!$M$385,IF(Arbejdsark!$N$383=Arbejdsark!$L$386,Arbejdsark!$M$386,0)))</f>
        <v>0</v>
      </c>
      <c r="Z128" s="295"/>
      <c r="AA128" s="295"/>
    </row>
    <row r="129" spans="8:25" ht="15" customHeight="1" outlineLevel="1" x14ac:dyDescent="0.45">
      <c r="R129" s="179"/>
      <c r="S129" s="166"/>
      <c r="T129" s="166"/>
      <c r="U129" s="167"/>
      <c r="V129" s="168"/>
      <c r="W129" s="167"/>
      <c r="X129" s="169"/>
      <c r="Y129" s="170"/>
    </row>
    <row r="130" spans="8:25" ht="15" customHeight="1" outlineLevel="1" x14ac:dyDescent="0.45">
      <c r="R130" s="174" t="str">
        <f>Arbejdsark!A388</f>
        <v>Klimaskærmens kvalitet</v>
      </c>
      <c r="S130" s="175"/>
      <c r="T130" s="175"/>
      <c r="U130" s="176">
        <f>SUM(U131:U137)</f>
        <v>3.9807692307692301E-2</v>
      </c>
      <c r="V130" s="176">
        <f>SUM(V131:V137)</f>
        <v>0</v>
      </c>
      <c r="W130" s="176">
        <f>SUM(W131:W137)</f>
        <v>0</v>
      </c>
      <c r="X130" s="177">
        <f>SUM(X131:X137)</f>
        <v>0</v>
      </c>
      <c r="Y130" s="176">
        <f>SUM(Y131:Y137)</f>
        <v>0</v>
      </c>
    </row>
    <row r="131" spans="8:25" ht="15" customHeight="1" outlineLevel="1" x14ac:dyDescent="0.45">
      <c r="R131" s="178"/>
      <c r="S131" s="166" t="str">
        <f>Arbejdsark!C388</f>
        <v>U-værdier</v>
      </c>
      <c r="T131" s="166" t="str">
        <f>Arbejdsark!D388</f>
        <v>TEC1.3
Vægtning: TEC1.3 pkt. 1</v>
      </c>
      <c r="U131" s="167">
        <f>Arbejdsark!E388</f>
        <v>1.0384615384615384E-2</v>
      </c>
      <c r="V131" s="168">
        <f t="shared" ref="V131:V137" si="8">Y131*U131</f>
        <v>0</v>
      </c>
      <c r="W131" s="167">
        <f>IF(Projektforudsætninger!$B$14="Ja",Arbejdsark!R388,0%)</f>
        <v>0</v>
      </c>
      <c r="X131" s="169">
        <f t="shared" ref="X131:X137" si="9">Y131*W131</f>
        <v>0</v>
      </c>
      <c r="Y131" s="170">
        <f>IF(Arbejdsark!$N$388=Arbejdsark!$L$389,Arbejdsark!$M$389,IF(Arbejdsark!$N$388=Arbejdsark!$L$390,Arbejdsark!$M$390,IF(Arbejdsark!$N$388=Arbejdsark!$L$391,Arbejdsark!$M$391,0)))</f>
        <v>0</v>
      </c>
    </row>
    <row r="132" spans="8:25" ht="15" customHeight="1" outlineLevel="1" x14ac:dyDescent="0.45">
      <c r="R132" s="179"/>
      <c r="S132" s="166" t="str">
        <f>Arbejdsark!C393</f>
        <v>Kuldebroer</v>
      </c>
      <c r="T132" s="166" t="str">
        <f>Arbejdsark!D393</f>
        <v>TEC1.3
Vægtning: TEC1.3 pkt. 2</v>
      </c>
      <c r="U132" s="167">
        <f>Arbejdsark!E393</f>
        <v>5.1923076923076922E-3</v>
      </c>
      <c r="V132" s="168">
        <f t="shared" si="8"/>
        <v>0</v>
      </c>
      <c r="W132" s="167">
        <f>IF(Projektforudsætninger!$B$14="Ja",Arbejdsark!R393,0%)</f>
        <v>0</v>
      </c>
      <c r="X132" s="169">
        <f t="shared" si="9"/>
        <v>0</v>
      </c>
      <c r="Y132" s="170">
        <f>IF(Arbejdsark!$N$393=Arbejdsark!$L$394,Arbejdsark!$M$394,IF(Arbejdsark!$N$393=Arbejdsark!$L$395,Arbejdsark!$M$395,IF(Arbejdsark!$N$393=Arbejdsark!$L$396,Arbejdsark!$M$396,0)))</f>
        <v>0</v>
      </c>
    </row>
    <row r="133" spans="8:25" ht="15" customHeight="1" outlineLevel="1" x14ac:dyDescent="0.45">
      <c r="R133" s="179"/>
      <c r="S133" s="166" t="str">
        <f>Arbejdsark!C398</f>
        <v>Varmetab</v>
      </c>
      <c r="T133" s="166" t="str">
        <f>Arbejdsark!D398</f>
        <v>TEC1.3
Vægtning: TEC1.3 pkt. 3</v>
      </c>
      <c r="U133" s="167">
        <f>Arbejdsark!E398</f>
        <v>5.1923076923076922E-3</v>
      </c>
      <c r="V133" s="168">
        <f t="shared" si="8"/>
        <v>0</v>
      </c>
      <c r="W133" s="167">
        <f>IF(Projektforudsætninger!$B$14="Ja",Arbejdsark!R398,0%)</f>
        <v>0</v>
      </c>
      <c r="X133" s="169">
        <f t="shared" si="9"/>
        <v>0</v>
      </c>
      <c r="Y133" s="170">
        <f>IF(Arbejdsark!$N$398=Arbejdsark!$L$399,Arbejdsark!$M$399,IF(Arbejdsark!$N$398=Arbejdsark!$L$400,Arbejdsark!$M$400,IF(Arbejdsark!$N$398=Arbejdsark!$L$401,Arbejdsark!$M$401,0)))</f>
        <v>0</v>
      </c>
    </row>
    <row r="134" spans="8:25" ht="15" customHeight="1" outlineLevel="1" x14ac:dyDescent="0.45">
      <c r="N134" s="295"/>
      <c r="O134" s="295"/>
      <c r="P134" s="295"/>
      <c r="Q134" s="295"/>
      <c r="R134" s="179"/>
      <c r="S134" s="166" t="str">
        <f>Arbejdsark!C403</f>
        <v>Forebyggelse af fugt i vinduesrammer</v>
      </c>
      <c r="T134" s="166" t="str">
        <f>Arbejdsark!D403</f>
        <v>TEC1.3
Vægtning: TEC1.3 pkt. 6</v>
      </c>
      <c r="U134" s="167">
        <f>Arbejdsark!E403</f>
        <v>5.1923076923076922E-3</v>
      </c>
      <c r="V134" s="168">
        <f t="shared" si="8"/>
        <v>0</v>
      </c>
      <c r="W134" s="167">
        <f>IF(Projektforudsætninger!$B$14="Ja",Arbejdsark!R403,0%)</f>
        <v>0</v>
      </c>
      <c r="X134" s="169">
        <f t="shared" si="9"/>
        <v>0</v>
      </c>
      <c r="Y134" s="170">
        <f>IF(Arbejdsark!$N$403=Arbejdsark!$L$404,Arbejdsark!$M$404,IF(Arbejdsark!$N$403=Arbejdsark!$L$405,Arbejdsark!$M$405,IF(Arbejdsark!$N$403=Arbejdsark!$L$406,Arbejdsark!$M$406,0)))</f>
        <v>0</v>
      </c>
    </row>
    <row r="135" spans="8:25" ht="15" customHeight="1" outlineLevel="1" x14ac:dyDescent="0.45">
      <c r="N135" s="295"/>
      <c r="O135" s="295"/>
      <c r="P135" s="295"/>
      <c r="Q135" s="295"/>
      <c r="R135" s="179"/>
      <c r="S135" s="166"/>
      <c r="T135" s="166"/>
      <c r="U135" s="167">
        <f>Arbejdsark!E408</f>
        <v>5.1923076923076922E-3</v>
      </c>
      <c r="V135" s="168">
        <f t="shared" si="8"/>
        <v>0</v>
      </c>
      <c r="W135" s="167">
        <f>IF(Projektforudsætninger!$B$14="Ja",Arbejdsark!R408,0%)</f>
        <v>0</v>
      </c>
      <c r="X135" s="169">
        <f t="shared" si="9"/>
        <v>0</v>
      </c>
      <c r="Y135" s="170">
        <f>IF(Arbejdsark!$N$408=Arbejdsark!$L$409,Arbejdsark!$M$409,IF(Arbejdsark!$N$408=Arbejdsark!$L$410,Arbejdsark!$M$410,IF(Arbejdsark!$N$408=Arbejdsark!$L$411,Arbejdsark!$M$411,0)))</f>
        <v>0</v>
      </c>
    </row>
    <row r="136" spans="8:25" ht="15" customHeight="1" outlineLevel="1" x14ac:dyDescent="0.45">
      <c r="N136" s="295"/>
      <c r="O136" s="295"/>
      <c r="P136" s="295"/>
      <c r="Q136" s="295"/>
      <c r="R136" s="179"/>
      <c r="S136" s="166" t="str">
        <f>Arbejdsark!C413</f>
        <v xml:space="preserve">Tæthed </v>
      </c>
      <c r="T136" s="166" t="str">
        <f>Arbejdsark!D413</f>
        <v>TEC1.3
Vægtning: TEC1.3 pkt. 5</v>
      </c>
      <c r="U136" s="167">
        <f>Arbejdsark!E413</f>
        <v>5.1923076923076922E-3</v>
      </c>
      <c r="V136" s="168">
        <f t="shared" si="8"/>
        <v>0</v>
      </c>
      <c r="W136" s="167">
        <f>IF(Projektforudsætninger!$B$14="Ja",Arbejdsark!R413,0%)</f>
        <v>0</v>
      </c>
      <c r="X136" s="169">
        <f t="shared" si="9"/>
        <v>0</v>
      </c>
      <c r="Y136" s="170">
        <f>IF(Arbejdsark!$N$413=Arbejdsark!$L$414,Arbejdsark!$M$414,IF(Arbejdsark!$N$413=Arbejdsark!$L$415,Arbejdsark!$M$415,IF(Arbejdsark!$N$413=Arbejdsark!$L$416,Arbejdsark!$M$416,0)))</f>
        <v>0</v>
      </c>
    </row>
    <row r="137" spans="8:25" ht="15" customHeight="1" outlineLevel="1" x14ac:dyDescent="0.45">
      <c r="N137" s="295"/>
      <c r="O137" s="295"/>
      <c r="P137" s="295"/>
      <c r="Q137" s="295"/>
      <c r="R137" s="179"/>
      <c r="S137" s="166" t="str">
        <f>Arbejdsark!C418</f>
        <v>Fugt</v>
      </c>
      <c r="T137" s="166" t="str">
        <f>Arbejdsark!D418</f>
        <v>TEC1.3
Vægtning: TEC1.3 pkt. 4</v>
      </c>
      <c r="U137" s="167">
        <f>Arbejdsark!E418</f>
        <v>3.4615384615384621E-3</v>
      </c>
      <c r="V137" s="168">
        <f t="shared" si="8"/>
        <v>0</v>
      </c>
      <c r="W137" s="167">
        <f>IF(Projektforudsætninger!$B$14="Ja",Arbejdsark!R418,0%)</f>
        <v>0</v>
      </c>
      <c r="X137" s="169">
        <f t="shared" si="9"/>
        <v>0</v>
      </c>
      <c r="Y137" s="170">
        <f>IF(Arbejdsark!$N$418=Arbejdsark!$L$419,Arbejdsark!$M$419,IF(Arbejdsark!$N$418=Arbejdsark!$L$420,Arbejdsark!$M$420,IF(Arbejdsark!$N$418=Arbejdsark!$L$421,Arbejdsark!$M$421,0)))</f>
        <v>0</v>
      </c>
    </row>
    <row r="138" spans="8:25" ht="15" customHeight="1" outlineLevel="1" x14ac:dyDescent="0.45">
      <c r="N138" s="295"/>
      <c r="O138" s="295"/>
      <c r="P138" s="295"/>
      <c r="Q138" s="295"/>
      <c r="R138" s="179"/>
      <c r="S138" s="166"/>
      <c r="T138" s="166"/>
      <c r="U138" s="167"/>
      <c r="V138" s="168"/>
      <c r="W138" s="167"/>
      <c r="X138" s="169"/>
      <c r="Y138" s="170"/>
    </row>
    <row r="139" spans="8:25" ht="15" customHeight="1" outlineLevel="1" x14ac:dyDescent="0.45">
      <c r="H139" s="71"/>
      <c r="I139" s="71"/>
      <c r="N139" s="295"/>
      <c r="O139" s="295"/>
      <c r="P139" s="295"/>
      <c r="Q139" s="295"/>
      <c r="R139" s="174" t="str">
        <f>Arbejdsark!A424</f>
        <v>Renhold og vedligehold</v>
      </c>
      <c r="S139" s="175"/>
      <c r="T139" s="175"/>
      <c r="U139" s="176">
        <f>SUM(U140:U145)</f>
        <v>3.4615384615384617E-2</v>
      </c>
      <c r="V139" s="176">
        <f>SUM(V140:V145)</f>
        <v>0</v>
      </c>
      <c r="W139" s="176">
        <f>SUM(W140:W145)</f>
        <v>0</v>
      </c>
      <c r="X139" s="177">
        <f>SUM(X140:X145)</f>
        <v>0</v>
      </c>
      <c r="Y139" s="176">
        <f>SUM(Y140:Y145)</f>
        <v>0</v>
      </c>
    </row>
    <row r="140" spans="8:25" ht="15" customHeight="1" outlineLevel="1" x14ac:dyDescent="0.45">
      <c r="H140" s="28"/>
      <c r="I140" s="28"/>
      <c r="N140" s="295"/>
      <c r="O140" s="295"/>
      <c r="P140" s="295"/>
      <c r="Q140" s="295"/>
      <c r="R140" s="178"/>
      <c r="S140" s="166" t="str">
        <f>Arbejdsark!C424</f>
        <v>Konstruktioner</v>
      </c>
      <c r="T140" s="166" t="str">
        <f>Arbejdsark!D424</f>
        <v>TEC1.5
Vægtning: TEC1.5 pkt. 1</v>
      </c>
      <c r="U140" s="167">
        <f>Arbejdsark!E424</f>
        <v>5.1923076923076922E-3</v>
      </c>
      <c r="V140" s="168">
        <f t="shared" ref="V140:V145" si="10">Y140*U140</f>
        <v>0</v>
      </c>
      <c r="W140" s="167">
        <f>IF(Projektforudsætninger!$B$14="Ja",Arbejdsark!R424,0%)</f>
        <v>0</v>
      </c>
      <c r="X140" s="169">
        <f t="shared" ref="X140:X145" si="11">Y140*W140</f>
        <v>0</v>
      </c>
      <c r="Y140" s="170">
        <f>IF(Arbejdsark!$N$424=Arbejdsark!$L$425,Arbejdsark!$M$425,IF(Arbejdsark!$N$424=Arbejdsark!$L$426,Arbejdsark!$M$426,IF(Arbejdsark!$N$424=Arbejdsark!$L$427,Arbejdsark!$M$427,0)))</f>
        <v>0</v>
      </c>
    </row>
    <row r="141" spans="8:25" ht="15" customHeight="1" outlineLevel="1" x14ac:dyDescent="0.45">
      <c r="H141" s="28"/>
      <c r="I141" s="28"/>
      <c r="N141" s="295"/>
      <c r="O141" s="295"/>
      <c r="P141" s="295"/>
      <c r="Q141" s="295"/>
      <c r="R141" s="179"/>
      <c r="S141" s="166" t="str">
        <f>Arbejdsark!C429</f>
        <v>Vinduespudsning</v>
      </c>
      <c r="T141" s="166" t="str">
        <f>Arbejdsark!D429</f>
        <v>TEC1.5
Vægtning: TEC1.5 pkt. 2</v>
      </c>
      <c r="U141" s="167">
        <f>Arbejdsark!E429</f>
        <v>6.9230769230769242E-3</v>
      </c>
      <c r="V141" s="168">
        <f t="shared" si="10"/>
        <v>0</v>
      </c>
      <c r="W141" s="167">
        <f>IF(Projektforudsætninger!$B$14="Ja",Arbejdsark!R429,0%)</f>
        <v>0</v>
      </c>
      <c r="X141" s="169">
        <f t="shared" si="11"/>
        <v>0</v>
      </c>
      <c r="Y141" s="170">
        <f>IF(Arbejdsark!$N$429=Arbejdsark!$L$430,Arbejdsark!$M$430,IF(Arbejdsark!$N$429=Arbejdsark!$L$431,Arbejdsark!$M$431,IF(Arbejdsark!$N$429=Arbejdsark!$L$432,Arbejdsark!$M$432,0)))</f>
        <v>0</v>
      </c>
    </row>
    <row r="142" spans="8:25" ht="15" customHeight="1" outlineLevel="1" x14ac:dyDescent="0.45">
      <c r="H142" s="28"/>
      <c r="I142" s="28"/>
      <c r="N142" s="295"/>
      <c r="O142" s="295"/>
      <c r="P142" s="295"/>
      <c r="Q142" s="295"/>
      <c r="R142" s="179"/>
      <c r="S142" s="166" t="str">
        <f>Arbejdsark!C434</f>
        <v>Gulvbelægning</v>
      </c>
      <c r="T142" s="166" t="str">
        <f>Arbejdsark!D434</f>
        <v>TEC1.5
Vægtning: TEC1.5 pkt. 3.1</v>
      </c>
      <c r="U142" s="167">
        <f>Arbejdsark!E434</f>
        <v>6.9230769230769242E-3</v>
      </c>
      <c r="V142" s="168">
        <f t="shared" si="10"/>
        <v>0</v>
      </c>
      <c r="W142" s="167">
        <f>IF(Projektforudsætninger!$B$14="Ja",Arbejdsark!R434,0%)</f>
        <v>0</v>
      </c>
      <c r="X142" s="169">
        <f t="shared" si="11"/>
        <v>0</v>
      </c>
      <c r="Y142" s="170">
        <f>IF(Arbejdsark!$N$434=Arbejdsark!$L$435,Arbejdsark!$M$435,IF(Arbejdsark!$N$434=Arbejdsark!$L$436,Arbejdsark!$M$436,IF(Arbejdsark!$N$434=Arbejdsark!$L$437,Arbejdsark!$M$437,0)))</f>
        <v>0</v>
      </c>
    </row>
    <row r="143" spans="8:25" ht="15" customHeight="1" outlineLevel="1" x14ac:dyDescent="0.45">
      <c r="H143" s="28"/>
      <c r="I143" s="28"/>
      <c r="N143" s="295"/>
      <c r="O143" s="295"/>
      <c r="P143" s="295"/>
      <c r="Q143" s="295"/>
      <c r="R143" s="179"/>
      <c r="S143" s="166" t="str">
        <f>Arbejdsark!C439</f>
        <v>Adgangsveje</v>
      </c>
      <c r="T143" s="166" t="str">
        <f>Arbejdsark!D439</f>
        <v>TEC1.5
Vægtning: TEC1.5 pkt. 3.2</v>
      </c>
      <c r="U143" s="167">
        <f>Arbejdsark!E439</f>
        <v>6.9230769230769242E-3</v>
      </c>
      <c r="V143" s="168">
        <f t="shared" si="10"/>
        <v>0</v>
      </c>
      <c r="W143" s="167">
        <f>IF(Projektforudsætninger!$B$14="Ja",Arbejdsark!R439,0%)</f>
        <v>0</v>
      </c>
      <c r="X143" s="169">
        <f t="shared" si="11"/>
        <v>0</v>
      </c>
      <c r="Y143" s="170">
        <f>IF(Arbejdsark!$N$439=Arbejdsark!$L$440,Arbejdsark!$M$440,IF(Arbejdsark!$N$439=Arbejdsark!$L$441,Arbejdsark!$M$441,IF(Arbejdsark!$N$439=Arbejdsark!$L$442,Arbejdsark!$M$442,0)))</f>
        <v>0</v>
      </c>
    </row>
    <row r="144" spans="8:25" ht="15" customHeight="1" outlineLevel="1" x14ac:dyDescent="0.45">
      <c r="H144" s="28"/>
      <c r="I144" s="28"/>
      <c r="N144" s="295"/>
      <c r="O144" s="295"/>
      <c r="P144" s="295"/>
      <c r="Q144" s="295"/>
      <c r="R144" s="179"/>
      <c r="S144" s="166" t="str">
        <f>Arbejdsark!C444</f>
        <v>Renhold omkring konstruktioner og tekniske installationer</v>
      </c>
      <c r="T144" s="166" t="str">
        <f>Arbejdsark!D444</f>
        <v>TEC1.5
Vægtning: TEC1.5 75% af pkt. 3.3 + 3.4</v>
      </c>
      <c r="U144" s="167">
        <f>Arbejdsark!E444</f>
        <v>6.9230769230769242E-3</v>
      </c>
      <c r="V144" s="168">
        <f t="shared" si="10"/>
        <v>0</v>
      </c>
      <c r="W144" s="167">
        <f>IF(Projektforudsætninger!$B$14="Ja",Arbejdsark!R444,0%)</f>
        <v>0</v>
      </c>
      <c r="X144" s="169">
        <f t="shared" si="11"/>
        <v>0</v>
      </c>
      <c r="Y144" s="170">
        <f>IF(Arbejdsark!$N$444=Arbejdsark!$L$445,Arbejdsark!$M$445,IF(Arbejdsark!$N$444=Arbejdsark!$L$446,Arbejdsark!$M$446,IF(Arbejdsark!$N$444=Arbejdsark!$L$447,Arbejdsark!$M$447,0)))</f>
        <v>0</v>
      </c>
    </row>
    <row r="145" spans="1:27" ht="15" customHeight="1" outlineLevel="1" x14ac:dyDescent="0.45">
      <c r="H145" s="28"/>
      <c r="I145" s="28"/>
      <c r="N145" s="295"/>
      <c r="O145" s="295"/>
      <c r="P145" s="295"/>
      <c r="Q145" s="295"/>
      <c r="R145" s="179"/>
      <c r="S145" s="166" t="str">
        <f>Arbejdsark!C449</f>
        <v>Materialer i vådrum</v>
      </c>
      <c r="T145" s="166" t="str">
        <f>Arbejdsark!D449</f>
        <v>TEC1.5
Vægtning: TEC1.5 25% af pkt. 3.3</v>
      </c>
      <c r="U145" s="167">
        <f>Arbejdsark!E449</f>
        <v>1.730769230769231E-3</v>
      </c>
      <c r="V145" s="168">
        <f t="shared" si="10"/>
        <v>0</v>
      </c>
      <c r="W145" s="167">
        <f>IF(Projektforudsætninger!$B$14="Ja",Arbejdsark!R449,0%)</f>
        <v>0</v>
      </c>
      <c r="X145" s="169">
        <f t="shared" si="11"/>
        <v>0</v>
      </c>
      <c r="Y145" s="170">
        <f>IF(Arbejdsark!$N$449=Arbejdsark!$L$450,Arbejdsark!$M$450,IF(Arbejdsark!$N$449=Arbejdsark!$L$451,Arbejdsark!$M$451,IF(Arbejdsark!$N$449=Arbejdsark!$L$452,Arbejdsark!$M$452,0)))</f>
        <v>0</v>
      </c>
    </row>
    <row r="146" spans="1:27" ht="15" customHeight="1" outlineLevel="1" x14ac:dyDescent="0.45">
      <c r="H146" s="28"/>
      <c r="I146" s="28"/>
      <c r="N146" s="295"/>
      <c r="O146" s="295"/>
      <c r="P146" s="295"/>
      <c r="Q146" s="295"/>
      <c r="R146" s="560"/>
      <c r="S146" s="561"/>
      <c r="T146" s="561"/>
      <c r="U146" s="562"/>
      <c r="V146" s="563"/>
      <c r="W146" s="562"/>
      <c r="X146" s="564"/>
      <c r="Y146" s="565"/>
      <c r="Z146" s="295"/>
      <c r="AA146" s="295"/>
    </row>
    <row r="147" spans="1:27" ht="15" customHeight="1" outlineLevel="1" x14ac:dyDescent="0.45">
      <c r="H147" s="28"/>
      <c r="I147" s="28"/>
      <c r="N147" s="295"/>
      <c r="O147" s="295"/>
      <c r="P147" s="295"/>
      <c r="Q147" s="295"/>
      <c r="R147" s="174" t="str">
        <f>Arbejdsark!A455</f>
        <v>Idriftsættelse</v>
      </c>
      <c r="S147" s="175"/>
      <c r="T147" s="175"/>
      <c r="U147" s="176">
        <f>SUM(U148)</f>
        <v>3.4615384615384617E-2</v>
      </c>
      <c r="V147" s="176">
        <f>SUM(V148)</f>
        <v>0</v>
      </c>
      <c r="W147" s="176">
        <f>SUM(W148)</f>
        <v>0</v>
      </c>
      <c r="X147" s="177">
        <f>SUM(X148)</f>
        <v>0</v>
      </c>
      <c r="Y147" s="176">
        <f>SUM(Y148)</f>
        <v>0</v>
      </c>
      <c r="Z147" s="295"/>
      <c r="AA147" s="295"/>
    </row>
    <row r="148" spans="1:27" ht="15" customHeight="1" outlineLevel="1" thickBot="1" x14ac:dyDescent="0.5">
      <c r="H148" s="28"/>
      <c r="I148" s="28"/>
      <c r="N148" s="295"/>
      <c r="O148" s="295"/>
      <c r="P148" s="295"/>
      <c r="Q148" s="295"/>
      <c r="R148" s="200"/>
      <c r="S148" s="181" t="str">
        <f>Arbejdsark!C455</f>
        <v>Systematisk idriftsættelse</v>
      </c>
      <c r="T148" s="181" t="str">
        <f>Arbejdsark!D455</f>
        <v>TEC1.7</v>
      </c>
      <c r="U148" s="182">
        <f>Arbejdsark!E455</f>
        <v>3.4615384615384617E-2</v>
      </c>
      <c r="V148" s="183">
        <f>Y148*U148</f>
        <v>0</v>
      </c>
      <c r="W148" s="182">
        <f>IF(Projektforudsætninger!$B$14="Ja",Arbejdsark!R455,0%)</f>
        <v>0</v>
      </c>
      <c r="X148" s="184">
        <f>Y148*W148</f>
        <v>0</v>
      </c>
      <c r="Y148" s="185">
        <f>IF(Arbejdsark!$N$455=Arbejdsark!$L$456,Arbejdsark!$M$456,IF(Arbejdsark!$N$455=Arbejdsark!$L$457,Arbejdsark!$M$457,IF(Arbejdsark!$N$455=Arbejdsark!$L$458,Arbejdsark!$M$458,0)))</f>
        <v>0</v>
      </c>
    </row>
    <row r="149" spans="1:27" ht="15" customHeight="1" outlineLevel="1" thickBot="1" x14ac:dyDescent="0.5">
      <c r="H149" s="28"/>
      <c r="I149" s="28"/>
      <c r="N149" s="295"/>
      <c r="O149" s="295"/>
      <c r="P149" s="295"/>
      <c r="Q149" s="295"/>
      <c r="R149" s="155" t="str">
        <f>Arbejdsark!A460</f>
        <v>PROCES KVALITET</v>
      </c>
      <c r="S149" s="156"/>
      <c r="T149" s="156"/>
      <c r="U149" s="157">
        <f>SUM(U153,U156,U163,U166,U169,U174,U182)</f>
        <v>0.11595410628019323</v>
      </c>
      <c r="V149" s="157">
        <f>SUM(V153,V156,V163,V166,V169,V174,V182)</f>
        <v>0</v>
      </c>
      <c r="W149" s="157">
        <f>SUM(W150,W153,W156,W163,W166,W169,W174,W182)</f>
        <v>0</v>
      </c>
      <c r="X149" s="158">
        <f>SUM(X150,X153,X156,X163,X166,X169,X174,X182)</f>
        <v>0</v>
      </c>
      <c r="Y149" s="159"/>
    </row>
    <row r="150" spans="1:27" ht="15" customHeight="1" x14ac:dyDescent="0.45">
      <c r="H150" s="28"/>
      <c r="I150" s="28"/>
      <c r="N150" s="295"/>
      <c r="O150" s="295"/>
      <c r="P150" s="295"/>
      <c r="Q150" s="295"/>
      <c r="R150" s="161" t="str">
        <f>Arbejdsark!A265</f>
        <v>Tryghed og sikkerhed</v>
      </c>
      <c r="S150" s="162"/>
      <c r="T150" s="162"/>
      <c r="U150" s="163">
        <f>SUM(U151)</f>
        <v>0</v>
      </c>
      <c r="V150" s="163">
        <f>SUM(V151)</f>
        <v>0</v>
      </c>
      <c r="W150" s="163">
        <f>SUM(W151)</f>
        <v>0</v>
      </c>
      <c r="X150" s="164">
        <f>SUM(X151)</f>
        <v>0</v>
      </c>
      <c r="Y150" s="163">
        <f>SUM(Y151)</f>
        <v>0</v>
      </c>
    </row>
    <row r="151" spans="1:27" ht="15" customHeight="1" x14ac:dyDescent="0.45">
      <c r="H151" s="28"/>
      <c r="I151" s="28"/>
      <c r="N151" s="295"/>
      <c r="O151" s="295"/>
      <c r="P151" s="295"/>
      <c r="Q151" s="295"/>
      <c r="R151" s="190"/>
      <c r="S151" s="166" t="str">
        <f>Arbejdsark!C270</f>
        <v>Forebyggelse af uheld</v>
      </c>
      <c r="T151" s="166">
        <f>Arbejdsark!D275</f>
        <v>0</v>
      </c>
      <c r="U151" s="167">
        <f>Arbejdsark!E275</f>
        <v>0</v>
      </c>
      <c r="V151" s="168">
        <f>Y151*U151</f>
        <v>0</v>
      </c>
      <c r="W151" s="167">
        <f>IF(Projektforudsætninger!$B$14="Ja",Arbejdsark!R275,0%)</f>
        <v>0</v>
      </c>
      <c r="X151" s="169">
        <f>Y151*W151</f>
        <v>0</v>
      </c>
      <c r="Y151" s="170">
        <f>SUM(Arbejdsark!N276:N277)</f>
        <v>0</v>
      </c>
    </row>
    <row r="152" spans="1:27" ht="15" customHeight="1" x14ac:dyDescent="0.45">
      <c r="N152" s="295"/>
      <c r="O152" s="295"/>
      <c r="P152" s="295"/>
      <c r="Q152" s="295"/>
      <c r="R152" s="190"/>
      <c r="S152" s="191"/>
      <c r="T152" s="191"/>
      <c r="U152" s="192"/>
      <c r="V152" s="192"/>
      <c r="W152" s="192"/>
      <c r="X152" s="193"/>
      <c r="Y152" s="194"/>
    </row>
    <row r="153" spans="1:27" ht="15" customHeight="1" x14ac:dyDescent="0.45">
      <c r="N153" s="295"/>
      <c r="O153" s="295"/>
      <c r="P153" s="295"/>
      <c r="Q153" s="295"/>
      <c r="R153" s="174" t="str">
        <f>Arbejdsark!A462</f>
        <v>Byggeprogram</v>
      </c>
      <c r="S153" s="175"/>
      <c r="T153" s="175"/>
      <c r="U153" s="176">
        <f>SUM(U154)</f>
        <v>1.1666666666666665E-2</v>
      </c>
      <c r="V153" s="176">
        <f>SUM(V154)</f>
        <v>0</v>
      </c>
      <c r="W153" s="176">
        <f>SUM(W154)</f>
        <v>0</v>
      </c>
      <c r="X153" s="177">
        <f>SUM(X154)</f>
        <v>0</v>
      </c>
      <c r="Y153" s="176">
        <f>SUM(Y154)</f>
        <v>0</v>
      </c>
    </row>
    <row r="154" spans="1:27" ht="15" customHeight="1" thickBot="1" x14ac:dyDescent="0.55000000000000004">
      <c r="A154" s="75" t="s">
        <v>225</v>
      </c>
      <c r="B154" s="73"/>
      <c r="C154" s="73"/>
      <c r="D154" s="73"/>
      <c r="E154" s="73"/>
      <c r="F154" s="73"/>
      <c r="G154" s="73"/>
      <c r="H154" s="73"/>
      <c r="I154" s="73"/>
      <c r="J154" s="73"/>
      <c r="N154" s="295"/>
      <c r="O154" s="295"/>
      <c r="P154" s="295"/>
      <c r="Q154" s="295"/>
      <c r="R154" s="178"/>
      <c r="S154" s="166" t="str">
        <f>Arbejdsark!C462</f>
        <v>Niveau for detaljering</v>
      </c>
      <c r="T154" s="166" t="str">
        <f>Arbejdsark!D462</f>
        <v>PRO1.1
Vægtning: PRO1.1 pkt. 1 + 2</v>
      </c>
      <c r="U154" s="167">
        <f>Arbejdsark!E462</f>
        <v>1.1666666666666665E-2</v>
      </c>
      <c r="V154" s="168">
        <f>Y154*U154</f>
        <v>0</v>
      </c>
      <c r="W154" s="167">
        <f>IF(Projektforudsætninger!$B$14="Ja",Arbejdsark!R462,0%)</f>
        <v>0</v>
      </c>
      <c r="X154" s="169">
        <f>Y154*W154</f>
        <v>0</v>
      </c>
      <c r="Y154" s="170">
        <f>IF(Arbejdsark!$N$462=Arbejdsark!$L$463,Arbejdsark!$M$463,IF(Arbejdsark!$N$462=Arbejdsark!$L$464,Arbejdsark!$M$464,IF(Arbejdsark!$N$462=Arbejdsark!$L$465,Arbejdsark!$M$465,0)))</f>
        <v>0</v>
      </c>
    </row>
    <row r="155" spans="1:27" ht="15" customHeight="1" outlineLevel="1" x14ac:dyDescent="0.45">
      <c r="N155" s="295"/>
      <c r="O155" s="295"/>
      <c r="P155" s="295"/>
      <c r="Q155" s="295"/>
      <c r="R155" s="179"/>
      <c r="S155" s="166"/>
      <c r="T155" s="166"/>
      <c r="U155" s="167"/>
      <c r="V155" s="168"/>
      <c r="W155" s="167"/>
      <c r="X155" s="169"/>
      <c r="Y155" s="170"/>
    </row>
    <row r="156" spans="1:27" ht="15" customHeight="1" outlineLevel="1" x14ac:dyDescent="0.45">
      <c r="A156" s="799" t="s">
        <v>226</v>
      </c>
      <c r="B156" s="799"/>
      <c r="N156" s="295"/>
      <c r="O156" s="295"/>
      <c r="P156" s="295"/>
      <c r="Q156" s="295"/>
      <c r="R156" s="174" t="str">
        <f>Arbejdsark!A467</f>
        <v>Integreret designproces</v>
      </c>
      <c r="S156" s="175"/>
      <c r="T156" s="175"/>
      <c r="U156" s="176">
        <f>SUM(U157:U161)</f>
        <v>2.1666666666666667E-2</v>
      </c>
      <c r="V156" s="176">
        <f>SUM(V157:V161)</f>
        <v>0</v>
      </c>
      <c r="W156" s="176">
        <f>SUM(W157:W161)</f>
        <v>0</v>
      </c>
      <c r="X156" s="177">
        <f>SUM(X157:X161)</f>
        <v>0</v>
      </c>
      <c r="Y156" s="176">
        <f>SUM(Y157:Y161)</f>
        <v>0</v>
      </c>
    </row>
    <row r="157" spans="1:27" ht="15" customHeight="1" outlineLevel="1" x14ac:dyDescent="0.45">
      <c r="A157" s="799"/>
      <c r="B157" s="799"/>
      <c r="N157" s="295"/>
      <c r="O157" s="295"/>
      <c r="P157" s="295"/>
      <c r="Q157" s="295"/>
      <c r="R157" s="178"/>
      <c r="S157" s="166" t="str">
        <f>Arbejdsark!C467</f>
        <v>Brugerudstyrs bidrag til energiforbrug</v>
      </c>
      <c r="T157" s="166" t="str">
        <f>Arbejdsark!D467</f>
        <v>PRO1.1 
Vægtning: PRO1.1 pkt. 3</v>
      </c>
      <c r="U157" s="167">
        <f>Arbejdsark!E467</f>
        <v>5.0000000000000001E-3</v>
      </c>
      <c r="V157" s="168">
        <f>Y157*U157</f>
        <v>0</v>
      </c>
      <c r="W157" s="167">
        <f>IF(Projektforudsætninger!$B$14="Ja",Arbejdsark!R467,0%)</f>
        <v>0</v>
      </c>
      <c r="X157" s="169">
        <f>Y157*W157</f>
        <v>0</v>
      </c>
      <c r="Y157" s="170">
        <f>IF(Arbejdsark!$N$467=Arbejdsark!$L$468,Arbejdsark!$M$468,IF(Arbejdsark!$N$467=Arbejdsark!$L$469,Arbejdsark!$M$469,IF(Arbejdsark!$N$467=Arbejdsark!$L$470,Arbejdsark!$M$470,0)))</f>
        <v>0</v>
      </c>
    </row>
    <row r="158" spans="1:27" ht="15" customHeight="1" outlineLevel="1" x14ac:dyDescent="0.45">
      <c r="A158" s="799"/>
      <c r="B158" s="799"/>
      <c r="N158" s="295"/>
      <c r="O158" s="295"/>
      <c r="P158" s="295"/>
      <c r="Q158" s="295"/>
      <c r="R158" s="179"/>
      <c r="S158" s="166" t="str">
        <f>Arbejdsark!C472</f>
        <v>Organisering af designteam</v>
      </c>
      <c r="T158" s="166" t="str">
        <f>Arbejdsark!D472</f>
        <v>PRO1.2
Vægtning: PRO1.2 pkt. 1</v>
      </c>
      <c r="U158" s="167">
        <f>Arbejdsark!E472</f>
        <v>5.0000000000000001E-3</v>
      </c>
      <c r="V158" s="168">
        <f>Y158*U158</f>
        <v>0</v>
      </c>
      <c r="W158" s="167">
        <f>IF(Projektforudsætninger!$B$14="Ja",Arbejdsark!R472,0%)</f>
        <v>0</v>
      </c>
      <c r="X158" s="169">
        <f>Y158*W158</f>
        <v>0</v>
      </c>
      <c r="Y158" s="170">
        <f>IF(Arbejdsark!$N$472=Arbejdsark!$L$473,Arbejdsark!$M$473,IF(Arbejdsark!$N$472=Arbejdsark!$L$474,Arbejdsark!$M$474,IF(Arbejdsark!$N$472=Arbejdsark!$L$475,Arbejdsark!$M$475,0)))</f>
        <v>0</v>
      </c>
    </row>
    <row r="159" spans="1:27" ht="15" customHeight="1" outlineLevel="1" x14ac:dyDescent="0.45">
      <c r="A159" s="799"/>
      <c r="B159" s="799"/>
      <c r="N159" s="295"/>
      <c r="O159" s="295"/>
      <c r="P159" s="295"/>
      <c r="Q159" s="295"/>
      <c r="R159" s="179"/>
      <c r="S159" s="166" t="str">
        <f>Arbejdsark!C477</f>
        <v>Brugerinddragelse</v>
      </c>
      <c r="T159" s="166" t="str">
        <f>Arbejdsark!D477</f>
        <v>PRO1.2
Vægtning: PRO1.2 pkt. 2</v>
      </c>
      <c r="U159" s="167">
        <f>Arbejdsark!E477</f>
        <v>5.0000000000000001E-3</v>
      </c>
      <c r="V159" s="168">
        <f>Y159*U159</f>
        <v>0</v>
      </c>
      <c r="W159" s="167">
        <f>IF(Projektforudsætninger!$B$14="Ja",Arbejdsark!R477,0%)</f>
        <v>0</v>
      </c>
      <c r="X159" s="169">
        <f>Y159*W159</f>
        <v>0</v>
      </c>
      <c r="Y159" s="170">
        <f>IF(Arbejdsark!$N$477=Arbejdsark!$L$478,Arbejdsark!$M$478,IF(Arbejdsark!$N$477=Arbejdsark!$L$479,Arbejdsark!$M$479,IF(Arbejdsark!$N$477=Arbejdsark!$L$480,Arbejdsark!$M$480,0)))</f>
        <v>0</v>
      </c>
    </row>
    <row r="160" spans="1:27" ht="15" customHeight="1" outlineLevel="1" x14ac:dyDescent="0.45">
      <c r="A160" s="799"/>
      <c r="B160" s="799"/>
      <c r="N160" s="295"/>
      <c r="O160" s="295"/>
      <c r="P160" s="295"/>
      <c r="Q160" s="295"/>
      <c r="R160" s="179"/>
      <c r="S160" s="166" t="str">
        <f>Arbejdsark!C482</f>
        <v>Naboinddragelse</v>
      </c>
      <c r="T160" s="166" t="str">
        <f>Arbejdsark!D482</f>
        <v>PRO1.2
Vægtning: PRO1.2 pkt. 3</v>
      </c>
      <c r="U160" s="167">
        <f>Arbejdsark!E482</f>
        <v>1.6666666666666668E-3</v>
      </c>
      <c r="V160" s="168">
        <f>Y160*U160</f>
        <v>0</v>
      </c>
      <c r="W160" s="167">
        <f>IF(Projektforudsætninger!$B$14="Ja",Arbejdsark!R482,0%)</f>
        <v>0</v>
      </c>
      <c r="X160" s="169">
        <f>Y160*W160</f>
        <v>0</v>
      </c>
      <c r="Y160" s="170">
        <f>IF(Arbejdsark!$N$482=Arbejdsark!$L$483,Arbejdsark!$M$483,IF(Arbejdsark!$N$482=Arbejdsark!$L$484,Arbejdsark!$M$484,IF(Arbejdsark!$N$482=Arbejdsark!$L$485,Arbejdsark!$M$485,0)))</f>
        <v>0</v>
      </c>
    </row>
    <row r="161" spans="1:26" ht="15" customHeight="1" outlineLevel="1" x14ac:dyDescent="0.45">
      <c r="A161" s="799"/>
      <c r="B161" s="799"/>
      <c r="N161" s="295"/>
      <c r="O161" s="295"/>
      <c r="P161" s="295"/>
      <c r="Q161" s="295"/>
      <c r="R161" s="179"/>
      <c r="S161" s="166" t="str">
        <f>Arbejdsark!C487</f>
        <v>Bæredygtighedsplan</v>
      </c>
      <c r="T161" s="166">
        <f>Arbejdsark!D483</f>
        <v>0</v>
      </c>
      <c r="U161" s="167">
        <f>Arbejdsark!E487</f>
        <v>5.0000000000000001E-3</v>
      </c>
      <c r="V161" s="168">
        <f>Y161*U161</f>
        <v>0</v>
      </c>
      <c r="W161" s="167">
        <f>IF(Projektforudsætninger!$B$14="Ja",Arbejdsark!R487,0%)</f>
        <v>0</v>
      </c>
      <c r="X161" s="169">
        <f>Y161*W161</f>
        <v>0</v>
      </c>
      <c r="Y161" s="170">
        <f>IF(Arbejdsark!$N$487=Arbejdsark!$L$488,Arbejdsark!$M$488,IF(Arbejdsark!$N$487=Arbejdsark!$L$489,Arbejdsark!$M$489,IF(Arbejdsark!$N$487=Arbejdsark!$L$490,Arbejdsark!$M$490,0)))</f>
        <v>0</v>
      </c>
    </row>
    <row r="162" spans="1:26" ht="15" customHeight="1" outlineLevel="1" x14ac:dyDescent="0.45">
      <c r="A162" s="799"/>
      <c r="B162" s="799"/>
      <c r="N162" s="295"/>
      <c r="O162" s="295"/>
      <c r="P162" s="295"/>
      <c r="Q162" s="295"/>
      <c r="R162" s="179"/>
      <c r="S162" s="166"/>
      <c r="T162" s="166"/>
      <c r="U162" s="167"/>
      <c r="V162" s="168"/>
      <c r="W162" s="167"/>
      <c r="X162" s="169"/>
      <c r="Y162" s="170"/>
    </row>
    <row r="163" spans="1:26" ht="15" customHeight="1" outlineLevel="1" x14ac:dyDescent="0.45">
      <c r="N163" s="295"/>
      <c r="O163" s="295"/>
      <c r="P163" s="295"/>
      <c r="Q163" s="295"/>
      <c r="R163" s="174" t="str">
        <f>Arbejdsark!A492</f>
        <v>Koncepter</v>
      </c>
      <c r="S163" s="175"/>
      <c r="T163" s="175"/>
      <c r="U163" s="176">
        <f>SUM(U164:U164)</f>
        <v>3.6231884057971009E-2</v>
      </c>
      <c r="V163" s="176">
        <f>SUM(V164:V164)</f>
        <v>0</v>
      </c>
      <c r="W163" s="176">
        <f>SUM(W164:W164)</f>
        <v>0</v>
      </c>
      <c r="X163" s="177">
        <f>SUM(X164:X164)</f>
        <v>0</v>
      </c>
      <c r="Y163" s="176">
        <f>SUM(Y164:Y164)</f>
        <v>0</v>
      </c>
    </row>
    <row r="164" spans="1:26" ht="15" customHeight="1" outlineLevel="1" x14ac:dyDescent="0.45">
      <c r="N164" s="295"/>
      <c r="O164" s="295"/>
      <c r="P164" s="295"/>
      <c r="Q164" s="295"/>
      <c r="R164" s="178"/>
      <c r="S164" s="166" t="str">
        <f>Arbejdsark!C492</f>
        <v>Koncepter for bæredygtige tiltag</v>
      </c>
      <c r="T164" s="166" t="str">
        <f>Arbejdsark!D492</f>
        <v>PRO1.3
Vægtning: PRO1.3 + ECO2.2 pkt. 3</v>
      </c>
      <c r="U164" s="167">
        <f>Arbejdsark!E492</f>
        <v>3.6231884057971009E-2</v>
      </c>
      <c r="V164" s="168">
        <f>Y164*U164</f>
        <v>0</v>
      </c>
      <c r="W164" s="167">
        <f>IF(Projektforudsætninger!$B$14="Ja",Arbejdsark!R492,0%)</f>
        <v>0</v>
      </c>
      <c r="X164" s="169">
        <f>Y164*W164</f>
        <v>0</v>
      </c>
      <c r="Y164" s="170">
        <f>IF(Arbejdsark!$N$492=Arbejdsark!$L$493,Arbejdsark!$M$493,IF(Arbejdsark!$N$492=Arbejdsark!$L$494,Arbejdsark!$M$494,IF(Arbejdsark!$N$492=Arbejdsark!$L$495,Arbejdsark!$M$495,0)))</f>
        <v>0</v>
      </c>
    </row>
    <row r="165" spans="1:26" ht="15" customHeight="1" outlineLevel="1" x14ac:dyDescent="0.45">
      <c r="A165" s="297"/>
      <c r="B165" s="297"/>
      <c r="C165" s="34"/>
      <c r="D165" s="34"/>
      <c r="E165" s="34"/>
      <c r="F165" s="34"/>
      <c r="G165" s="34"/>
      <c r="H165" s="34"/>
      <c r="I165" s="34"/>
      <c r="J165" s="34"/>
      <c r="N165" s="295"/>
      <c r="O165" s="295"/>
      <c r="P165" s="295"/>
      <c r="Q165" s="295"/>
      <c r="R165" s="179"/>
      <c r="S165" s="166"/>
      <c r="T165" s="166"/>
      <c r="U165" s="167"/>
      <c r="V165" s="168"/>
      <c r="W165" s="167"/>
      <c r="X165" s="169"/>
      <c r="Y165" s="170"/>
      <c r="Z165" s="295"/>
    </row>
    <row r="166" spans="1:26" ht="15" customHeight="1" outlineLevel="1" x14ac:dyDescent="0.45">
      <c r="A166" s="297"/>
      <c r="B166" s="297"/>
      <c r="C166" s="34"/>
      <c r="D166" s="34"/>
      <c r="E166" s="34"/>
      <c r="F166" s="34"/>
      <c r="G166" s="34"/>
      <c r="H166" s="34"/>
      <c r="I166" s="34"/>
      <c r="J166" s="34"/>
      <c r="N166" s="295"/>
      <c r="O166" s="295"/>
      <c r="P166" s="295"/>
      <c r="Q166" s="295"/>
      <c r="R166" s="174" t="str">
        <f>Arbejdsark!A497</f>
        <v>Entrepriseudbud</v>
      </c>
      <c r="S166" s="175"/>
      <c r="T166" s="175"/>
      <c r="U166" s="176">
        <f>SUM(U167:U167)</f>
        <v>1.1111111111111112E-2</v>
      </c>
      <c r="V166" s="176">
        <f>SUM(V167:V167)</f>
        <v>0</v>
      </c>
      <c r="W166" s="176">
        <f>SUM(W167:W167)</f>
        <v>0</v>
      </c>
      <c r="X166" s="177">
        <f>SUM(X167:X167)</f>
        <v>0</v>
      </c>
      <c r="Y166" s="176">
        <f>SUM(Y167:Y167)</f>
        <v>0</v>
      </c>
      <c r="Z166" s="295"/>
    </row>
    <row r="167" spans="1:26" ht="15" customHeight="1" outlineLevel="1" x14ac:dyDescent="0.45">
      <c r="A167" s="297"/>
      <c r="B167" s="297"/>
      <c r="C167" s="34"/>
      <c r="D167" s="34"/>
      <c r="E167" s="34"/>
      <c r="F167" s="34"/>
      <c r="G167" s="34"/>
      <c r="H167" s="34"/>
      <c r="I167" s="34"/>
      <c r="J167" s="34"/>
      <c r="N167" s="295"/>
      <c r="O167" s="295"/>
      <c r="P167" s="295"/>
      <c r="Q167" s="295"/>
      <c r="R167" s="178"/>
      <c r="S167" s="166" t="str">
        <f>Arbejdsark!C497</f>
        <v>Udvælgelse (prækvalificering)</v>
      </c>
      <c r="T167" s="166" t="str">
        <f>Arbejdsark!D497</f>
        <v xml:space="preserve">PRO1.4
</v>
      </c>
      <c r="U167" s="167">
        <f>Arbejdsark!E497</f>
        <v>1.1111111111111112E-2</v>
      </c>
      <c r="V167" s="168">
        <f>Y167*U167</f>
        <v>0</v>
      </c>
      <c r="W167" s="167">
        <f>IF(Projektforudsætninger!$B$14="Ja",Arbejdsark!R497,0%)</f>
        <v>0</v>
      </c>
      <c r="X167" s="169">
        <f>Y167*W167</f>
        <v>0</v>
      </c>
      <c r="Y167" s="170">
        <f>IF(Arbejdsark!$N$497=Arbejdsark!$L$498,Arbejdsark!$M$498,IF(Arbejdsark!$N$497=Arbejdsark!$L$499,Arbejdsark!$M$499,IF(Arbejdsark!$N$497=Arbejdsark!$L$500,Arbejdsark!$M$500,0)))</f>
        <v>0</v>
      </c>
      <c r="Z167" s="295"/>
    </row>
    <row r="168" spans="1:26" ht="15" customHeight="1" outlineLevel="1" x14ac:dyDescent="0.45">
      <c r="A168" s="34"/>
      <c r="B168" s="34"/>
      <c r="C168" s="34"/>
      <c r="D168" s="34"/>
      <c r="E168" s="34"/>
      <c r="F168" s="34"/>
      <c r="G168" s="34"/>
      <c r="H168" s="34"/>
      <c r="I168" s="34"/>
      <c r="J168" s="34"/>
      <c r="K168" s="34"/>
      <c r="L168" s="34"/>
      <c r="M168" s="34"/>
      <c r="N168" s="99"/>
      <c r="O168" s="99"/>
      <c r="P168" s="99"/>
      <c r="Q168" s="99"/>
      <c r="R168" s="179"/>
      <c r="S168" s="166"/>
      <c r="T168" s="166"/>
      <c r="U168" s="167"/>
      <c r="V168" s="168"/>
      <c r="W168" s="167"/>
      <c r="X168" s="167"/>
      <c r="Y168" s="208"/>
      <c r="Z168" s="99"/>
    </row>
    <row r="169" spans="1:26" ht="15" customHeight="1" outlineLevel="1" x14ac:dyDescent="0.45">
      <c r="A169" s="34"/>
      <c r="B169" s="34"/>
      <c r="C169" s="34"/>
      <c r="D169" s="34"/>
      <c r="E169" s="34"/>
      <c r="F169" s="34"/>
      <c r="G169" s="34"/>
      <c r="H169" s="34"/>
      <c r="I169" s="34"/>
      <c r="J169" s="34"/>
      <c r="N169" s="295"/>
      <c r="O169" s="295"/>
      <c r="P169" s="295"/>
      <c r="Q169" s="295"/>
      <c r="R169" s="174" t="str">
        <f>Arbejdsark!A502</f>
        <v>Kvalitet af aflevering til driftspersonale</v>
      </c>
      <c r="S169" s="175"/>
      <c r="T169" s="175"/>
      <c r="U169" s="176">
        <f>SUM(U170:U172)</f>
        <v>1.1111111111111112E-2</v>
      </c>
      <c r="V169" s="176">
        <f>SUM(V170:V172)</f>
        <v>0</v>
      </c>
      <c r="W169" s="176">
        <f>SUM(W170:W172)</f>
        <v>0</v>
      </c>
      <c r="X169" s="176">
        <f>SUM(X170:X172)</f>
        <v>0</v>
      </c>
      <c r="Y169" s="177">
        <f>SUM(Y170:Y172)</f>
        <v>0</v>
      </c>
      <c r="Z169" s="99"/>
    </row>
    <row r="170" spans="1:26" ht="15" customHeight="1" outlineLevel="1" x14ac:dyDescent="0.45">
      <c r="A170" s="34"/>
      <c r="B170" s="34"/>
      <c r="C170" s="34"/>
      <c r="D170" s="34"/>
      <c r="E170" s="34"/>
      <c r="F170" s="34"/>
      <c r="G170" s="34"/>
      <c r="H170" s="34"/>
      <c r="I170" s="34"/>
      <c r="J170" s="34"/>
      <c r="N170" s="295"/>
      <c r="O170" s="295"/>
      <c r="P170" s="295"/>
      <c r="Q170" s="295"/>
      <c r="R170" s="178"/>
      <c r="S170" s="166" t="str">
        <f>Arbejdsark!C502</f>
        <v>D&amp;V-materiale</v>
      </c>
      <c r="T170" s="166" t="str">
        <f>Arbejdsark!D502</f>
        <v>PRO1.5
Vægtning: PRO1.5 pkt. 1</v>
      </c>
      <c r="U170" s="167">
        <f>Arbejdsark!E502</f>
        <v>3.3333333333333335E-3</v>
      </c>
      <c r="V170" s="168">
        <f>Y170*U170</f>
        <v>0</v>
      </c>
      <c r="W170" s="167">
        <f>IF(Projektforudsætninger!$B$14="Ja",Arbejdsark!R502,0%)</f>
        <v>0</v>
      </c>
      <c r="X170" s="167">
        <f>Y170*W170</f>
        <v>0</v>
      </c>
      <c r="Y170" s="208">
        <f>IF(Arbejdsark!$N$502=Arbejdsark!$L$503,Arbejdsark!$M$503,IF(Arbejdsark!$N$502=Arbejdsark!$L$504,Arbejdsark!$M$504,IF(Arbejdsark!$N$502=Arbejdsark!$L$505,Arbejdsark!$M$505,0)))</f>
        <v>0</v>
      </c>
      <c r="Z170" s="295"/>
    </row>
    <row r="171" spans="1:26" ht="15" customHeight="1" outlineLevel="1" x14ac:dyDescent="0.45">
      <c r="A171" s="34"/>
      <c r="B171" s="34"/>
      <c r="C171" s="34"/>
      <c r="D171" s="34"/>
      <c r="E171" s="34"/>
      <c r="F171" s="34"/>
      <c r="G171" s="34"/>
      <c r="H171" s="34"/>
      <c r="I171" s="34"/>
      <c r="J171" s="34"/>
      <c r="N171" s="295"/>
      <c r="O171" s="295"/>
      <c r="P171" s="295"/>
      <c r="Q171" s="295"/>
      <c r="R171" s="179"/>
      <c r="S171" s="166" t="str">
        <f>Arbejdsark!C507</f>
        <v>As Built</v>
      </c>
      <c r="T171" s="166" t="str">
        <f>Arbejdsark!D507</f>
        <v>PRO1.5
Vægtning: PRO1.5 pkt. 2</v>
      </c>
      <c r="U171" s="167">
        <f>Arbejdsark!E507</f>
        <v>3.3333333333333335E-3</v>
      </c>
      <c r="V171" s="168">
        <f>Y171*U171</f>
        <v>0</v>
      </c>
      <c r="W171" s="167">
        <f>IF(Projektforudsætninger!$B$14="Ja",Arbejdsark!R507,0%)</f>
        <v>0</v>
      </c>
      <c r="X171" s="167">
        <f>Y171*W171</f>
        <v>0</v>
      </c>
      <c r="Y171" s="208">
        <f>IF(Arbejdsark!$N$507=Arbejdsark!$L$508,Arbejdsark!$M$508,IF(Arbejdsark!$N$507=Arbejdsark!$L$509,Arbejdsark!$M$509,IF(Arbejdsark!$N$507=Arbejdsark!$L$510,Arbejdsark!$M$510,0)))</f>
        <v>0</v>
      </c>
      <c r="Z171" s="295"/>
    </row>
    <row r="172" spans="1:26" ht="15" customHeight="1" outlineLevel="1" x14ac:dyDescent="0.45">
      <c r="A172" s="34"/>
      <c r="B172" s="34"/>
      <c r="C172" s="34"/>
      <c r="D172" s="34"/>
      <c r="E172" s="34"/>
      <c r="F172" s="34"/>
      <c r="G172" s="34"/>
      <c r="H172" s="34"/>
      <c r="I172" s="34"/>
      <c r="J172" s="34"/>
      <c r="N172" s="295"/>
      <c r="O172" s="295"/>
      <c r="P172" s="295"/>
      <c r="Q172" s="295"/>
      <c r="R172" s="179"/>
      <c r="S172" s="166" t="str">
        <f>Arbejdsark!C512</f>
        <v>Brugermanual - indhold og ansvar</v>
      </c>
      <c r="T172" s="166" t="str">
        <f>Arbejdsark!D512</f>
        <v>PRO1.5
Vægtning: PRO1.5 pkt. 3</v>
      </c>
      <c r="U172" s="167">
        <f>Arbejdsark!E512</f>
        <v>4.4444444444444444E-3</v>
      </c>
      <c r="V172" s="168">
        <f>Y172*U172</f>
        <v>0</v>
      </c>
      <c r="W172" s="167">
        <f>IF(Projektforudsætninger!$B$14="Ja",Arbejdsark!R512,0%)</f>
        <v>0</v>
      </c>
      <c r="X172" s="169">
        <f>Y172*W172</f>
        <v>0</v>
      </c>
      <c r="Y172" s="170">
        <f>IF(Arbejdsark!$N$512=Arbejdsark!$L$513,Arbejdsark!$M$513,IF(Arbejdsark!$N$512=Arbejdsark!$L$514,Arbejdsark!$M$514,IF(Arbejdsark!$N$512=Arbejdsark!$L$515,Arbejdsark!$M$515,0)))</f>
        <v>0</v>
      </c>
      <c r="Z172" s="295"/>
    </row>
    <row r="173" spans="1:26" ht="15" customHeight="1" outlineLevel="1" x14ac:dyDescent="0.45">
      <c r="A173" s="34"/>
      <c r="B173" s="34"/>
      <c r="C173" s="34"/>
      <c r="D173" s="34"/>
      <c r="E173" s="34"/>
      <c r="F173" s="34"/>
      <c r="G173" s="34"/>
      <c r="H173" s="34"/>
      <c r="I173" s="34"/>
      <c r="J173" s="34"/>
      <c r="N173" s="295"/>
      <c r="O173" s="295"/>
      <c r="P173" s="295"/>
      <c r="Q173" s="295"/>
      <c r="R173" s="179"/>
      <c r="S173" s="166"/>
      <c r="T173" s="166"/>
      <c r="U173" s="167"/>
      <c r="V173" s="168"/>
      <c r="W173" s="167"/>
      <c r="X173" s="169"/>
      <c r="Y173" s="170"/>
      <c r="Z173" s="295"/>
    </row>
    <row r="174" spans="1:26" ht="15" customHeight="1" outlineLevel="1" x14ac:dyDescent="0.45">
      <c r="A174" s="34"/>
      <c r="B174" s="34"/>
      <c r="C174" s="34"/>
      <c r="D174" s="34"/>
      <c r="E174" s="34"/>
      <c r="F174" s="34"/>
      <c r="G174" s="34"/>
      <c r="H174" s="34"/>
      <c r="I174" s="34"/>
      <c r="J174" s="34"/>
      <c r="N174" s="295"/>
      <c r="O174" s="295"/>
      <c r="P174" s="295"/>
      <c r="Q174" s="295"/>
      <c r="R174" s="174" t="str">
        <f>Arbejdsark!A517</f>
        <v>Byggeplads</v>
      </c>
      <c r="S174" s="175"/>
      <c r="T174" s="175"/>
      <c r="U174" s="176">
        <f>SUM(U175:U180)</f>
        <v>0.01</v>
      </c>
      <c r="V174" s="176">
        <f>SUM(V175:V180)</f>
        <v>0</v>
      </c>
      <c r="W174" s="176">
        <f>SUM(W175:W180)</f>
        <v>0</v>
      </c>
      <c r="X174" s="177">
        <f>SUM(X175:X180)</f>
        <v>0</v>
      </c>
      <c r="Y174" s="176">
        <f>SUM(Y175:Y180)</f>
        <v>0</v>
      </c>
      <c r="Z174" s="295"/>
    </row>
    <row r="175" spans="1:26" ht="15" customHeight="1" outlineLevel="1" x14ac:dyDescent="0.45">
      <c r="A175" s="34"/>
      <c r="B175" s="34"/>
      <c r="C175" s="34"/>
      <c r="D175" s="34"/>
      <c r="E175" s="34"/>
      <c r="F175" s="34"/>
      <c r="G175" s="34"/>
      <c r="H175" s="34"/>
      <c r="I175" s="34"/>
      <c r="J175" s="34"/>
      <c r="N175" s="295"/>
      <c r="O175" s="295"/>
      <c r="P175" s="295"/>
      <c r="Q175" s="295"/>
      <c r="R175" s="178"/>
      <c r="S175" s="166" t="str">
        <f>Arbejdsark!C517</f>
        <v>Affald</v>
      </c>
      <c r="T175" s="166" t="str">
        <f>Arbejdsark!D517</f>
        <v>PRO2.1
Vægtning: PRO2.1 pkt. 1</v>
      </c>
      <c r="U175" s="167">
        <f>Arbejdsark!E517</f>
        <v>1.6666666666666668E-3</v>
      </c>
      <c r="V175" s="168">
        <f t="shared" ref="V175:V180" si="12">Y175*U175</f>
        <v>0</v>
      </c>
      <c r="W175" s="167">
        <f>IF(Projektforudsætninger!$B$14="Ja",Arbejdsark!R517,0%)</f>
        <v>0</v>
      </c>
      <c r="X175" s="169">
        <f t="shared" ref="X175:X180" si="13">Y175*W175</f>
        <v>0</v>
      </c>
      <c r="Y175" s="170">
        <f>IF(Arbejdsark!$N$517=Arbejdsark!$L$518,Arbejdsark!$M$518,IF(Arbejdsark!$N$517=Arbejdsark!$L$519,Arbejdsark!$M$519,IF(Arbejdsark!$N$517=Arbejdsark!$L$520,Arbejdsark!$M$520,0)))</f>
        <v>0</v>
      </c>
      <c r="Z175" s="295"/>
    </row>
    <row r="176" spans="1:26" ht="15" customHeight="1" outlineLevel="1" x14ac:dyDescent="0.45">
      <c r="A176" s="34"/>
      <c r="B176" s="34"/>
      <c r="C176" s="34"/>
      <c r="D176" s="34"/>
      <c r="E176" s="34"/>
      <c r="F176" s="34"/>
      <c r="G176" s="34"/>
      <c r="H176" s="34"/>
      <c r="I176" s="34"/>
      <c r="J176" s="34"/>
      <c r="N176" s="295"/>
      <c r="O176" s="295"/>
      <c r="P176" s="295"/>
      <c r="Q176" s="295"/>
      <c r="R176" s="179"/>
      <c r="S176" s="166" t="str">
        <f>Arbejdsark!C522</f>
        <v>Støj og vibrationer</v>
      </c>
      <c r="T176" s="166" t="str">
        <f>Arbejdsark!D522</f>
        <v>PRO2.1
Vægtning: PRO2.1 pkt. 2</v>
      </c>
      <c r="U176" s="167">
        <f>Arbejdsark!E522</f>
        <v>1.6666666666666668E-3</v>
      </c>
      <c r="V176" s="168">
        <f t="shared" si="12"/>
        <v>0</v>
      </c>
      <c r="W176" s="167">
        <f>IF(Projektforudsætninger!$B$14="Ja",Arbejdsark!R522,0%)</f>
        <v>0</v>
      </c>
      <c r="X176" s="169">
        <f t="shared" si="13"/>
        <v>0</v>
      </c>
      <c r="Y176" s="170">
        <f>IF(Arbejdsark!$N$522=Arbejdsark!$L$523,Arbejdsark!$M$523,IF(Arbejdsark!$N$522=Arbejdsark!$L$524,Arbejdsark!$M$524,IF(Arbejdsark!$N$522=Arbejdsark!$L$525,Arbejdsark!$M$525,0)))</f>
        <v>0</v>
      </c>
      <c r="Z176" s="295"/>
    </row>
    <row r="177" spans="1:26" ht="15" customHeight="1" outlineLevel="1" x14ac:dyDescent="0.45">
      <c r="A177" s="34"/>
      <c r="B177" s="34"/>
      <c r="C177" s="34"/>
      <c r="D177" s="34"/>
      <c r="E177" s="34"/>
      <c r="F177" s="34"/>
      <c r="G177" s="34"/>
      <c r="H177" s="34"/>
      <c r="I177" s="34"/>
      <c r="J177" s="34"/>
      <c r="N177" s="295"/>
      <c r="O177" s="295"/>
      <c r="P177" s="295"/>
      <c r="Q177" s="295"/>
      <c r="R177" s="179"/>
      <c r="S177" s="166" t="str">
        <f>Arbejdsark!C527</f>
        <v>Støv</v>
      </c>
      <c r="T177" s="166" t="str">
        <f>Arbejdsark!D527</f>
        <v>PRO2.1
Vægtning: PRO2.1 pkt. 3</v>
      </c>
      <c r="U177" s="167">
        <f>Arbejdsark!E527</f>
        <v>1.6666666666666668E-3</v>
      </c>
      <c r="V177" s="168">
        <f t="shared" si="12"/>
        <v>0</v>
      </c>
      <c r="W177" s="167">
        <f>IF(Projektforudsætninger!$B$14="Ja",Arbejdsark!R527,0%)</f>
        <v>0</v>
      </c>
      <c r="X177" s="169">
        <f t="shared" si="13"/>
        <v>0</v>
      </c>
      <c r="Y177" s="170">
        <f>IF(Arbejdsark!$N$527=Arbejdsark!$L$528,Arbejdsark!$M$528,IF(Arbejdsark!$N$527=Arbejdsark!$L$529,Arbejdsark!$M$529,IF(Arbejdsark!$N$527=Arbejdsark!$L$530,Arbejdsark!$M$530,0)))</f>
        <v>0</v>
      </c>
      <c r="Z177" s="295"/>
    </row>
    <row r="178" spans="1:26" ht="15" customHeight="1" outlineLevel="1" x14ac:dyDescent="0.45">
      <c r="A178" s="34"/>
      <c r="B178" s="34"/>
      <c r="C178" s="34"/>
      <c r="D178" s="34"/>
      <c r="E178" s="34"/>
      <c r="F178" s="34"/>
      <c r="G178" s="34"/>
      <c r="H178" s="34"/>
      <c r="I178" s="34"/>
      <c r="J178" s="34"/>
      <c r="N178" s="295"/>
      <c r="O178" s="295"/>
      <c r="P178" s="295"/>
      <c r="Q178" s="295"/>
      <c r="R178" s="179"/>
      <c r="S178" s="166" t="str">
        <f>Arbejdsark!C532</f>
        <v>Miljøbeskyttelse (vand, kemi og beplantning)</v>
      </c>
      <c r="T178" s="166" t="str">
        <f>Arbejdsark!D532</f>
        <v>PRO2.1
Vægtning: PRO2.1 pkt. 4</v>
      </c>
      <c r="U178" s="167">
        <f>Arbejdsark!E532</f>
        <v>1.6666666666666668E-3</v>
      </c>
      <c r="V178" s="168">
        <f t="shared" si="12"/>
        <v>0</v>
      </c>
      <c r="W178" s="167">
        <f>IF(Projektforudsætninger!$B$14="Ja",Arbejdsark!R532,0%)</f>
        <v>0</v>
      </c>
      <c r="X178" s="169">
        <f t="shared" si="13"/>
        <v>0</v>
      </c>
      <c r="Y178" s="170">
        <f>IF(Arbejdsark!$N$532=Arbejdsark!$L$533,Arbejdsark!$M$533,IF(Arbejdsark!$N$532=Arbejdsark!$L$534,Arbejdsark!$M$534,IF(Arbejdsark!$N$532=Arbejdsark!$L$535,Arbejdsark!$M$535,0)))</f>
        <v>0</v>
      </c>
      <c r="Z178" s="295"/>
    </row>
    <row r="179" spans="1:26" ht="15" customHeight="1" outlineLevel="1" x14ac:dyDescent="0.45">
      <c r="A179" s="34"/>
      <c r="B179" s="34"/>
      <c r="C179" s="34"/>
      <c r="D179" s="34"/>
      <c r="E179" s="34"/>
      <c r="F179" s="34"/>
      <c r="G179" s="34"/>
      <c r="H179" s="34"/>
      <c r="I179" s="34"/>
      <c r="J179" s="34"/>
      <c r="N179" s="295"/>
      <c r="O179" s="295"/>
      <c r="P179" s="295"/>
      <c r="Q179" s="295"/>
      <c r="R179" s="179"/>
      <c r="S179" s="166" t="str">
        <f>Arbejdsark!C537</f>
        <v>Energi</v>
      </c>
      <c r="T179" s="166" t="str">
        <f>Arbejdsark!D537</f>
        <v>PRO2.1
Vægtning: PRO2.1 pkt. 5</v>
      </c>
      <c r="U179" s="167">
        <f>Arbejdsark!E537</f>
        <v>1.6666666666666668E-3</v>
      </c>
      <c r="V179" s="168">
        <f t="shared" si="12"/>
        <v>0</v>
      </c>
      <c r="W179" s="167">
        <f>IF(Projektforudsætninger!$B$14="Ja",Arbejdsark!R537,0%)</f>
        <v>0</v>
      </c>
      <c r="X179" s="169">
        <f t="shared" si="13"/>
        <v>0</v>
      </c>
      <c r="Y179" s="170">
        <f>IF(Arbejdsark!$N$537=Arbejdsark!$L$538,Arbejdsark!$M$538,IF(Arbejdsark!$N$537=Arbejdsark!$L$539,Arbejdsark!$M$539,IF(Arbejdsark!$N$537=Arbejdsark!$L$540,Arbejdsark!$M$540,0)))</f>
        <v>0</v>
      </c>
    </row>
    <row r="180" spans="1:26" ht="15" customHeight="1" outlineLevel="1" x14ac:dyDescent="0.45">
      <c r="A180" s="34"/>
      <c r="B180" s="34"/>
      <c r="C180" s="34"/>
      <c r="D180" s="34"/>
      <c r="E180" s="34"/>
      <c r="F180" s="34"/>
      <c r="G180" s="34"/>
      <c r="H180" s="34"/>
      <c r="I180" s="34"/>
      <c r="J180" s="34"/>
      <c r="N180" s="295"/>
      <c r="O180" s="295"/>
      <c r="P180" s="295"/>
      <c r="Q180" s="295"/>
      <c r="R180" s="179"/>
      <c r="S180" s="166" t="str">
        <f>Arbejdsark!C542</f>
        <v>Nabohensyn</v>
      </c>
      <c r="T180" s="166" t="str">
        <f>Arbejdsark!D542</f>
        <v>PRO2.1
Vægtning: PRO2.1 pkt. 6</v>
      </c>
      <c r="U180" s="167">
        <f>Arbejdsark!E542</f>
        <v>1.6666666666666668E-3</v>
      </c>
      <c r="V180" s="168">
        <f t="shared" si="12"/>
        <v>0</v>
      </c>
      <c r="W180" s="167">
        <f>IF(Projektforudsætninger!$B$14="Ja",Arbejdsark!R542,0%)</f>
        <v>0</v>
      </c>
      <c r="X180" s="169">
        <f t="shared" si="13"/>
        <v>0</v>
      </c>
      <c r="Y180" s="170">
        <f>IF(Arbejdsark!$N$542=Arbejdsark!$L$543,Arbejdsark!$M$543,IF(Arbejdsark!$N$542=Arbejdsark!$L$544,Arbejdsark!$M$544,IF(Arbejdsark!$N$542=Arbejdsark!$L$545,Arbejdsark!$M$545,0)))</f>
        <v>0</v>
      </c>
    </row>
    <row r="181" spans="1:26" ht="15" customHeight="1" outlineLevel="1" x14ac:dyDescent="0.45">
      <c r="A181" s="34"/>
      <c r="B181" s="34"/>
      <c r="C181" s="34"/>
      <c r="D181" s="34"/>
      <c r="E181" s="34"/>
      <c r="F181" s="34"/>
      <c r="G181" s="34"/>
      <c r="H181" s="34"/>
      <c r="I181" s="34"/>
      <c r="J181" s="34"/>
      <c r="N181" s="295"/>
      <c r="O181" s="295"/>
      <c r="P181" s="295"/>
      <c r="Q181" s="295"/>
      <c r="R181" s="179"/>
      <c r="S181" s="166"/>
      <c r="T181" s="166"/>
      <c r="U181" s="167"/>
      <c r="V181" s="168"/>
      <c r="W181" s="167"/>
      <c r="X181" s="169"/>
      <c r="Y181" s="170"/>
    </row>
    <row r="182" spans="1:26" ht="15" customHeight="1" outlineLevel="1" x14ac:dyDescent="0.45">
      <c r="A182" s="34"/>
      <c r="B182" s="34"/>
      <c r="C182" s="34"/>
      <c r="D182" s="34"/>
      <c r="E182" s="34"/>
      <c r="F182" s="34"/>
      <c r="G182" s="34"/>
      <c r="H182" s="34"/>
      <c r="I182" s="34"/>
      <c r="J182" s="34"/>
      <c r="N182" s="295"/>
      <c r="O182" s="295"/>
      <c r="P182" s="295"/>
      <c r="Q182" s="295"/>
      <c r="R182" s="174" t="str">
        <f>Arbejdsark!A548</f>
        <v>Eftervisende dokumentation</v>
      </c>
      <c r="S182" s="175"/>
      <c r="T182" s="175"/>
      <c r="U182" s="176">
        <f>SUM(U183:U186)</f>
        <v>1.4166666666666668E-2</v>
      </c>
      <c r="V182" s="176">
        <f>SUM(V183:V186)</f>
        <v>0</v>
      </c>
      <c r="W182" s="176">
        <f>SUM(W183:W186)</f>
        <v>0</v>
      </c>
      <c r="X182" s="177">
        <f>SUM(X183:X186)</f>
        <v>0</v>
      </c>
      <c r="Y182" s="176">
        <f>SUM(Y183:Y186)</f>
        <v>0</v>
      </c>
    </row>
    <row r="183" spans="1:26" ht="15" customHeight="1" outlineLevel="1" x14ac:dyDescent="0.45">
      <c r="A183" s="34"/>
      <c r="B183" s="34"/>
      <c r="C183" s="34"/>
      <c r="D183" s="34"/>
      <c r="E183" s="34"/>
      <c r="F183" s="34"/>
      <c r="G183" s="34"/>
      <c r="H183" s="34"/>
      <c r="I183" s="34"/>
      <c r="J183" s="34"/>
      <c r="N183" s="295"/>
      <c r="O183" s="295"/>
      <c r="P183" s="295"/>
      <c r="Q183" s="295"/>
      <c r="R183" s="178"/>
      <c r="S183" s="166" t="str">
        <f>Arbejdsark!C548</f>
        <v>Byggevarer</v>
      </c>
      <c r="T183" s="166" t="str">
        <f>Arbejdsark!D548</f>
        <v>PRO2.2
Vægtning: PRO2.2 pkt. 1</v>
      </c>
      <c r="U183" s="167">
        <f>Arbejdsark!E548</f>
        <v>7.4999999999999997E-3</v>
      </c>
      <c r="V183" s="168">
        <f>Y183*U183</f>
        <v>0</v>
      </c>
      <c r="W183" s="167">
        <f>IF(Projektforudsætninger!$B$14="Ja",Arbejdsark!R548,0%)</f>
        <v>0</v>
      </c>
      <c r="X183" s="169">
        <f>Y183*W183</f>
        <v>0</v>
      </c>
      <c r="Y183" s="170">
        <f>IF(Arbejdsark!$N$548=Arbejdsark!$L$549,Arbejdsark!$M$549,IF(Arbejdsark!$N$548=Arbejdsark!$L$550,Arbejdsark!$M$550,IF(Arbejdsark!$N$548=Arbejdsark!$L$551,Arbejdsark!$M$551,0)))</f>
        <v>0</v>
      </c>
    </row>
    <row r="184" spans="1:26" ht="15" customHeight="1" outlineLevel="1" x14ac:dyDescent="0.45">
      <c r="A184" s="34"/>
      <c r="B184" s="34"/>
      <c r="C184" s="34"/>
      <c r="D184" s="34"/>
      <c r="E184" s="34"/>
      <c r="F184" s="34"/>
      <c r="G184" s="34"/>
      <c r="H184" s="34"/>
      <c r="I184" s="34"/>
      <c r="J184" s="34"/>
      <c r="N184" s="295"/>
      <c r="O184" s="295"/>
      <c r="P184" s="295"/>
      <c r="Q184" s="295"/>
      <c r="R184" s="179"/>
      <c r="S184" s="166" t="str">
        <f>Arbejdsark!C553</f>
        <v>Lydforhold/akustik i bygningen</v>
      </c>
      <c r="T184" s="166" t="str">
        <f>Arbejdsark!D553</f>
        <v>PRO2.2
Vægtning: PRO2.2 pkt. 2.2</v>
      </c>
      <c r="U184" s="167">
        <f>Arbejdsark!E553</f>
        <v>1.6666666666666668E-3</v>
      </c>
      <c r="V184" s="168">
        <f>Y184*U184</f>
        <v>0</v>
      </c>
      <c r="W184" s="167">
        <f>IF(Projektforudsætninger!$B$14="Ja",Arbejdsark!R553,0%)</f>
        <v>0</v>
      </c>
      <c r="X184" s="169">
        <f>Y184*W184</f>
        <v>0</v>
      </c>
      <c r="Y184" s="170">
        <f>IF(Arbejdsark!$N$553=Arbejdsark!$L$554,Arbejdsark!$M$554,IF(Arbejdsark!$N$553=Arbejdsark!$L$555,Arbejdsark!$M$555,IF(Arbejdsark!$N$553=Arbejdsark!$L$556,Arbejdsark!$M$556,0)))</f>
        <v>0</v>
      </c>
    </row>
    <row r="185" spans="1:26" ht="15" customHeight="1" outlineLevel="1" x14ac:dyDescent="0.45">
      <c r="A185" s="34"/>
      <c r="B185" s="34"/>
      <c r="C185" s="34"/>
      <c r="D185" s="34"/>
      <c r="E185" s="34"/>
      <c r="F185" s="34"/>
      <c r="G185" s="34"/>
      <c r="H185" s="34"/>
      <c r="I185" s="34"/>
      <c r="J185" s="34"/>
      <c r="N185" s="295"/>
      <c r="O185" s="295"/>
      <c r="P185" s="295"/>
      <c r="Q185" s="295"/>
      <c r="R185" s="179"/>
      <c r="S185" s="166" t="str">
        <f>Arbejdsark!C558</f>
        <v>Fugt</v>
      </c>
      <c r="T185" s="166" t="str">
        <f>Arbejdsark!D558</f>
        <v>PRO2.2
Vægtning: PRO2.2 pkt. 2.3</v>
      </c>
      <c r="U185" s="167">
        <f>Arbejdsark!E558</f>
        <v>2.5000000000000001E-3</v>
      </c>
      <c r="V185" s="168">
        <f>Y185*U185</f>
        <v>0</v>
      </c>
      <c r="W185" s="167">
        <f>IF(Projektforudsætninger!$B$14="Ja",Arbejdsark!R558,0%)</f>
        <v>0</v>
      </c>
      <c r="X185" s="169">
        <f>Y185*W185</f>
        <v>0</v>
      </c>
      <c r="Y185" s="170">
        <f>IF(Arbejdsark!$N$558=Arbejdsark!$L$559,Arbejdsark!$M$559,IF(Arbejdsark!$N$558=Arbejdsark!$L$560,Arbejdsark!$M$560,IF(Arbejdsark!$N$558=Arbejdsark!$L$561,Arbejdsark!$M$561,0)))</f>
        <v>0</v>
      </c>
    </row>
    <row r="186" spans="1:26" ht="15" customHeight="1" outlineLevel="1" x14ac:dyDescent="0.45">
      <c r="A186" s="34"/>
      <c r="B186" s="34"/>
      <c r="C186" s="34"/>
      <c r="D186" s="34"/>
      <c r="E186" s="34"/>
      <c r="F186" s="34"/>
      <c r="G186" s="34"/>
      <c r="H186" s="34"/>
      <c r="I186" s="34"/>
      <c r="J186" s="34"/>
      <c r="N186" s="295"/>
      <c r="O186" s="295"/>
      <c r="P186" s="295"/>
      <c r="Q186" s="295"/>
      <c r="R186" s="179"/>
      <c r="S186" s="166" t="str">
        <f>Arbejdsark!C563</f>
        <v>Eftervisning af klimaskærmens kvalitet</v>
      </c>
      <c r="T186" s="166" t="str">
        <f>Arbejdsark!D563</f>
        <v>PRO2.2 
Vægtning: PRO2.2 pkt. 2.1</v>
      </c>
      <c r="U186" s="167">
        <f>Arbejdsark!E563</f>
        <v>2.5000000000000001E-3</v>
      </c>
      <c r="V186" s="168">
        <f>Y186*U186</f>
        <v>0</v>
      </c>
      <c r="W186" s="167">
        <f>IF(Projektforudsætninger!$B$14="Ja",Arbejdsark!R563,0%)</f>
        <v>0</v>
      </c>
      <c r="X186" s="169">
        <f>Y186*W186</f>
        <v>0</v>
      </c>
      <c r="Y186" s="170">
        <f>IF(Arbejdsark!$N$563=Arbejdsark!$L$564,Arbejdsark!$M$564,IF(Arbejdsark!$N$563=Arbejdsark!$L$565,Arbejdsark!$M$565,IF(Arbejdsark!$N$563=Arbejdsark!$L$566,Arbejdsark!$M$566,0)))</f>
        <v>0</v>
      </c>
    </row>
    <row r="187" spans="1:26" ht="15" customHeight="1" outlineLevel="1" x14ac:dyDescent="0.45">
      <c r="A187" s="34"/>
      <c r="B187" s="34"/>
      <c r="C187" s="34"/>
      <c r="D187" s="34"/>
      <c r="E187" s="34"/>
      <c r="F187" s="34"/>
      <c r="G187" s="34"/>
      <c r="H187" s="34"/>
      <c r="I187" s="34"/>
      <c r="J187" s="34"/>
      <c r="N187" s="295"/>
      <c r="O187" s="295"/>
      <c r="P187" s="295"/>
      <c r="Q187" s="295"/>
      <c r="R187" s="179"/>
      <c r="S187" s="166"/>
      <c r="T187" s="166"/>
      <c r="U187" s="167"/>
      <c r="V187" s="168"/>
      <c r="W187" s="167"/>
      <c r="X187" s="169"/>
      <c r="Y187" s="170"/>
    </row>
    <row r="188" spans="1:26" ht="15" customHeight="1" outlineLevel="1" x14ac:dyDescent="0.45">
      <c r="A188" s="34"/>
      <c r="B188" s="34"/>
      <c r="C188" s="34"/>
      <c r="D188" s="34"/>
      <c r="E188" s="34"/>
      <c r="F188" s="34"/>
      <c r="G188" s="34"/>
      <c r="H188" s="34"/>
      <c r="I188" s="34"/>
      <c r="J188" s="34"/>
      <c r="N188" s="295"/>
      <c r="O188" s="295"/>
      <c r="P188" s="295"/>
      <c r="Q188" s="295"/>
      <c r="R188" s="74"/>
      <c r="S188" s="74"/>
      <c r="T188" s="74"/>
      <c r="U188" s="74"/>
      <c r="V188" s="74"/>
      <c r="W188" s="74"/>
      <c r="X188" s="74"/>
      <c r="Y188" s="74"/>
    </row>
    <row r="189" spans="1:26" ht="15" customHeight="1" outlineLevel="1" thickBot="1" x14ac:dyDescent="0.5">
      <c r="A189" s="34"/>
      <c r="B189" s="34"/>
      <c r="C189" s="34"/>
      <c r="D189" s="34"/>
      <c r="E189" s="34"/>
      <c r="F189" s="34"/>
      <c r="G189" s="34"/>
      <c r="H189" s="34"/>
      <c r="I189" s="34"/>
      <c r="J189" s="34"/>
      <c r="N189" s="295"/>
      <c r="O189" s="295"/>
      <c r="P189" s="295"/>
      <c r="Q189" s="295"/>
      <c r="R189" s="74"/>
      <c r="S189" s="74"/>
      <c r="T189" s="74"/>
      <c r="U189" s="74"/>
      <c r="V189" s="74"/>
      <c r="W189" s="74"/>
      <c r="X189" s="74"/>
      <c r="Y189" s="74"/>
    </row>
    <row r="190" spans="1:26" ht="15" customHeight="1" outlineLevel="1" x14ac:dyDescent="0.45">
      <c r="A190" s="34"/>
      <c r="B190" s="34"/>
      <c r="C190" s="34"/>
      <c r="D190" s="34"/>
      <c r="E190" s="34"/>
      <c r="F190" s="34"/>
      <c r="G190" s="34"/>
      <c r="H190" s="34"/>
      <c r="I190" s="34"/>
      <c r="J190" s="34"/>
      <c r="N190" s="295"/>
      <c r="O190" s="295"/>
      <c r="P190" s="295"/>
      <c r="Q190" s="295"/>
      <c r="R190" s="154"/>
      <c r="S190" s="154"/>
      <c r="T190" s="154"/>
      <c r="U190" s="201"/>
      <c r="V190" s="295"/>
      <c r="W190" s="202"/>
      <c r="X190" s="295"/>
      <c r="Y190" s="203"/>
    </row>
    <row r="191" spans="1:26" ht="15" customHeight="1" outlineLevel="1" x14ac:dyDescent="0.45">
      <c r="A191" s="34"/>
      <c r="B191" s="34"/>
      <c r="C191" s="34"/>
      <c r="D191" s="34"/>
      <c r="E191" s="34"/>
      <c r="F191" s="34"/>
      <c r="G191" s="34"/>
      <c r="H191" s="34"/>
      <c r="I191" s="34"/>
      <c r="J191" s="34"/>
      <c r="N191" s="295"/>
      <c r="O191" s="295"/>
      <c r="P191" s="295"/>
      <c r="Q191" s="295"/>
      <c r="R191" s="154">
        <f>Arbejdsark!A459</f>
        <v>0</v>
      </c>
      <c r="S191" s="154">
        <f>Arbejdsark!C459</f>
        <v>0</v>
      </c>
      <c r="T191" s="154">
        <f>Arbejdsark!D459</f>
        <v>0</v>
      </c>
      <c r="U191" s="201">
        <f>Arbejdsark!E459</f>
        <v>0</v>
      </c>
      <c r="V191" s="295"/>
      <c r="W191" s="154">
        <f>Arbejdsark!R459</f>
        <v>0</v>
      </c>
      <c r="X191" s="295"/>
      <c r="Y191" s="204" t="e">
        <f>Arbejdsark!#REF!</f>
        <v>#REF!</v>
      </c>
    </row>
    <row r="192" spans="1:26" ht="15" customHeight="1" outlineLevel="1" x14ac:dyDescent="0.45">
      <c r="A192" s="34"/>
      <c r="B192" s="34"/>
      <c r="C192" s="34"/>
      <c r="D192" s="34"/>
      <c r="E192" s="34"/>
      <c r="F192" s="34"/>
      <c r="G192" s="34"/>
      <c r="H192" s="34"/>
      <c r="I192" s="34"/>
      <c r="J192" s="34"/>
      <c r="N192" s="295"/>
      <c r="O192" s="295"/>
      <c r="P192" s="295"/>
      <c r="Q192" s="295"/>
      <c r="R192" s="154" t="str">
        <f>Arbejdsark!A578</f>
        <v>GRUNDEN OG LOKALOMRÅDET</v>
      </c>
      <c r="S192" s="154">
        <f>Arbejdsark!C578</f>
        <v>0</v>
      </c>
      <c r="T192" s="154">
        <f>Arbejdsark!D578</f>
        <v>0</v>
      </c>
      <c r="U192" s="201">
        <f>Arbejdsark!E578</f>
        <v>0</v>
      </c>
      <c r="V192" s="295"/>
      <c r="W192" s="154">
        <f>Arbejdsark!R578</f>
        <v>0</v>
      </c>
      <c r="X192" s="295"/>
      <c r="Y192" s="205" t="e">
        <f>Arbejdsark!#REF!</f>
        <v>#REF!</v>
      </c>
    </row>
    <row r="193" spans="1:25" ht="15" customHeight="1" outlineLevel="1" x14ac:dyDescent="0.45">
      <c r="A193" s="34"/>
      <c r="B193" s="34"/>
      <c r="C193" s="34"/>
      <c r="D193" s="34"/>
      <c r="E193" s="34"/>
      <c r="F193" s="34"/>
      <c r="G193" s="34"/>
      <c r="H193" s="34"/>
      <c r="I193" s="34"/>
      <c r="J193" s="34"/>
      <c r="N193" s="295"/>
      <c r="O193" s="295"/>
      <c r="P193" s="295"/>
      <c r="Q193" s="295"/>
      <c r="R193" s="154" t="str">
        <f>Arbejdsark!A579</f>
        <v>Kortlægning af risici</v>
      </c>
      <c r="S193" s="154" t="str">
        <f>Arbejdsark!C579</f>
        <v>Oversvømmelse</v>
      </c>
      <c r="T193" s="154" t="str">
        <f>Arbejdsark!D579</f>
        <v>SITE1.1 + (PRO1.3)</v>
      </c>
      <c r="U193" s="201">
        <f>Arbejdsark!E579</f>
        <v>3.3000000000000002E-2</v>
      </c>
      <c r="V193" s="295"/>
      <c r="W193" s="154">
        <f>Arbejdsark!R579</f>
        <v>0</v>
      </c>
      <c r="X193" s="295"/>
      <c r="Y193" s="205" t="e">
        <f>Arbejdsark!#REF!</f>
        <v>#REF!</v>
      </c>
    </row>
    <row r="194" spans="1:25" ht="15" customHeight="1" outlineLevel="1" x14ac:dyDescent="0.45">
      <c r="A194" s="34"/>
      <c r="B194" s="34"/>
      <c r="C194" s="34"/>
      <c r="D194" s="34"/>
      <c r="E194" s="34"/>
      <c r="F194" s="34"/>
      <c r="G194" s="34"/>
      <c r="H194" s="34"/>
      <c r="I194" s="34"/>
      <c r="J194" s="34"/>
      <c r="N194" s="295"/>
      <c r="O194" s="295"/>
      <c r="P194" s="295"/>
      <c r="Q194" s="295"/>
      <c r="R194" s="154">
        <f>Arbejdsark!A584</f>
        <v>0</v>
      </c>
      <c r="S194" s="154" t="str">
        <f>Arbejdsark!C584</f>
        <v>Jordbund - Erosionsrisiko og forurening</v>
      </c>
      <c r="T194" s="154" t="str">
        <f>Arbejdsark!D584</f>
        <v>SITE1.1 + (ENV2.3)</v>
      </c>
      <c r="U194" s="201">
        <f>Arbejdsark!E584</f>
        <v>3.3000000000000002E-2</v>
      </c>
      <c r="V194" s="295"/>
      <c r="W194" s="154">
        <f>Arbejdsark!R584</f>
        <v>0</v>
      </c>
      <c r="X194" s="295"/>
      <c r="Y194" s="205" t="e">
        <f>Arbejdsark!#REF!</f>
        <v>#REF!</v>
      </c>
    </row>
    <row r="195" spans="1:25" outlineLevel="1" x14ac:dyDescent="0.45">
      <c r="A195" s="34"/>
      <c r="B195" s="34"/>
      <c r="C195" s="34"/>
      <c r="D195" s="34"/>
      <c r="E195" s="34"/>
      <c r="F195" s="34"/>
      <c r="G195" s="34"/>
      <c r="H195" s="34"/>
      <c r="I195" s="34"/>
      <c r="J195" s="34"/>
      <c r="N195" s="295"/>
      <c r="O195" s="295"/>
      <c r="P195" s="295"/>
      <c r="Q195" s="295"/>
      <c r="R195" s="154">
        <f>Arbejdsark!A589</f>
        <v>0</v>
      </c>
      <c r="S195" s="154" t="str">
        <f>Arbejdsark!C589</f>
        <v>Udeluftskvalitet</v>
      </c>
      <c r="T195" s="154" t="str">
        <f>Arbejdsark!D589</f>
        <v>SITE1.1</v>
      </c>
      <c r="U195" s="201">
        <f>Arbejdsark!E589</f>
        <v>3.3000000000000002E-2</v>
      </c>
      <c r="V195" s="295"/>
      <c r="W195" s="154">
        <f>Arbejdsark!R589</f>
        <v>0</v>
      </c>
      <c r="X195" s="295"/>
      <c r="Y195" s="205" t="e">
        <f>Arbejdsark!#REF!</f>
        <v>#REF!</v>
      </c>
    </row>
    <row r="196" spans="1:25" outlineLevel="1" x14ac:dyDescent="0.45">
      <c r="A196" s="34"/>
      <c r="B196" s="34"/>
      <c r="C196" s="34"/>
      <c r="D196" s="34"/>
      <c r="E196" s="34"/>
      <c r="F196" s="34"/>
      <c r="G196" s="34"/>
      <c r="H196" s="34"/>
      <c r="I196" s="34"/>
      <c r="J196" s="34"/>
      <c r="N196" s="295"/>
      <c r="O196" s="295"/>
      <c r="P196" s="295"/>
      <c r="Q196" s="295"/>
      <c r="R196" s="154">
        <f>Arbejdsark!A594</f>
        <v>0</v>
      </c>
      <c r="S196" s="154" t="str">
        <f>Arbejdsark!C594</f>
        <v>Støj</v>
      </c>
      <c r="T196" s="154" t="str">
        <f>Arbejdsark!D594</f>
        <v>SITE1.1</v>
      </c>
      <c r="U196" s="201">
        <f>Arbejdsark!E594</f>
        <v>3.3000000000000002E-2</v>
      </c>
      <c r="V196" s="295"/>
      <c r="W196" s="154">
        <f>Arbejdsark!R594</f>
        <v>0</v>
      </c>
      <c r="X196" s="295"/>
      <c r="Y196" s="205" t="e">
        <f>Arbejdsark!#REF!</f>
        <v>#REF!</v>
      </c>
    </row>
    <row r="197" spans="1:25" outlineLevel="1" x14ac:dyDescent="0.45">
      <c r="A197" s="34"/>
      <c r="B197" s="34"/>
      <c r="C197" s="34"/>
      <c r="D197" s="34"/>
      <c r="E197" s="34"/>
      <c r="F197" s="34"/>
      <c r="G197" s="34"/>
      <c r="H197" s="34"/>
      <c r="I197" s="34"/>
      <c r="J197" s="34"/>
      <c r="N197" s="295"/>
      <c r="O197" s="295"/>
      <c r="P197" s="295"/>
      <c r="Q197" s="295"/>
      <c r="R197" s="154">
        <f>Arbejdsark!A599</f>
        <v>0</v>
      </c>
      <c r="S197" s="154" t="str">
        <f>Arbejdsark!C599</f>
        <v>Radon</v>
      </c>
      <c r="T197" s="154" t="str">
        <f>Arbejdsark!D599</f>
        <v>SITE1.1</v>
      </c>
      <c r="U197" s="201">
        <f>Arbejdsark!E599</f>
        <v>2.1999999999999999E-2</v>
      </c>
      <c r="V197" s="295"/>
      <c r="W197" s="154">
        <f>Arbejdsark!R599</f>
        <v>0</v>
      </c>
      <c r="X197" s="295"/>
      <c r="Y197" s="205" t="e">
        <f>Arbejdsark!#REF!</f>
        <v>#REF!</v>
      </c>
    </row>
    <row r="198" spans="1:25" outlineLevel="1" x14ac:dyDescent="0.45">
      <c r="A198" s="34"/>
      <c r="B198" s="34"/>
      <c r="C198" s="34"/>
      <c r="D198" s="34"/>
      <c r="E198" s="34"/>
      <c r="F198" s="34"/>
      <c r="G198" s="34"/>
      <c r="H198" s="34"/>
      <c r="I198" s="34"/>
      <c r="J198" s="34"/>
      <c r="N198" s="295"/>
      <c r="O198" s="295"/>
      <c r="P198" s="295"/>
      <c r="Q198" s="295"/>
      <c r="R198" s="154">
        <f>Arbejdsark!A606</f>
        <v>0</v>
      </c>
      <c r="S198" s="154" t="str">
        <f>Arbejdsark!C606</f>
        <v>Elektromagnetisk stråling</v>
      </c>
      <c r="T198" s="154" t="str">
        <f>Arbejdsark!D606</f>
        <v>SITE1.1</v>
      </c>
      <c r="U198" s="201">
        <f>Arbejdsark!E606</f>
        <v>2.1999999999999999E-2</v>
      </c>
      <c r="V198" s="295"/>
      <c r="W198" s="154">
        <f>Arbejdsark!R606</f>
        <v>0</v>
      </c>
      <c r="X198" s="295"/>
      <c r="Y198" s="205" t="e">
        <f>Arbejdsark!#REF!</f>
        <v>#REF!</v>
      </c>
    </row>
    <row r="199" spans="1:25" outlineLevel="1" x14ac:dyDescent="0.45">
      <c r="A199" s="34"/>
      <c r="B199" s="34"/>
      <c r="C199" s="34"/>
      <c r="D199" s="34"/>
      <c r="E199" s="34"/>
      <c r="F199" s="34"/>
      <c r="G199" s="34"/>
      <c r="H199" s="34"/>
      <c r="I199" s="34"/>
      <c r="J199" s="34"/>
      <c r="N199" s="295"/>
      <c r="O199" s="295"/>
      <c r="P199" s="295"/>
      <c r="Q199" s="295"/>
      <c r="R199" s="154">
        <f>Arbejdsark!A611</f>
        <v>0</v>
      </c>
      <c r="S199" s="154">
        <f>Arbejdsark!C611</f>
        <v>0</v>
      </c>
      <c r="T199" s="154">
        <f>Arbejdsark!D611</f>
        <v>0</v>
      </c>
      <c r="U199" s="201">
        <f>Arbejdsark!E611</f>
        <v>0</v>
      </c>
      <c r="V199" s="295"/>
      <c r="W199" s="154">
        <f>Arbejdsark!R611</f>
        <v>0</v>
      </c>
      <c r="X199" s="295"/>
      <c r="Y199" s="205" t="e">
        <f>Arbejdsark!#REF!</f>
        <v>#REF!</v>
      </c>
    </row>
    <row r="200" spans="1:25" outlineLevel="1" x14ac:dyDescent="0.45">
      <c r="A200" s="34"/>
      <c r="B200" s="34"/>
      <c r="C200" s="34"/>
      <c r="D200" s="34"/>
      <c r="E200" s="34"/>
      <c r="F200" s="34"/>
      <c r="G200" s="34"/>
      <c r="H200" s="34"/>
      <c r="I200" s="34"/>
      <c r="J200" s="34"/>
      <c r="N200" s="295"/>
      <c r="O200" s="295"/>
      <c r="P200" s="295"/>
      <c r="Q200" s="295"/>
      <c r="R200" s="154" t="str">
        <f>Arbejdsark!A612</f>
        <v>Image og tilstand</v>
      </c>
      <c r="S200" s="154" t="str">
        <f>Arbejdsark!C612</f>
        <v>Kortlægning</v>
      </c>
      <c r="T200" s="154" t="str">
        <f>Arbejdsark!D612</f>
        <v xml:space="preserve">SITE1.2
Vægtning: SITE1.2 50 % af pkt. 1 </v>
      </c>
      <c r="U200" s="201">
        <f>Arbejdsark!E612</f>
        <v>5.5500000000000001E-2</v>
      </c>
      <c r="V200" s="295"/>
      <c r="W200" s="154">
        <f>Arbejdsark!R612</f>
        <v>0</v>
      </c>
      <c r="X200" s="295"/>
      <c r="Y200" s="205" t="e">
        <f>Arbejdsark!#REF!</f>
        <v>#REF!</v>
      </c>
    </row>
    <row r="201" spans="1:25" outlineLevel="1" x14ac:dyDescent="0.45">
      <c r="A201" s="34"/>
      <c r="B201" s="34"/>
      <c r="C201" s="34"/>
      <c r="D201" s="34"/>
      <c r="E201" s="34"/>
      <c r="F201" s="34"/>
      <c r="G201" s="34"/>
      <c r="H201" s="34"/>
      <c r="I201" s="34"/>
      <c r="J201" s="34"/>
      <c r="N201" s="295"/>
      <c r="O201" s="295"/>
      <c r="P201" s="295"/>
      <c r="Q201" s="295"/>
      <c r="R201" s="154">
        <f>Arbejdsark!A621</f>
        <v>0</v>
      </c>
      <c r="S201" s="154" t="str">
        <f>Arbejdsark!C621</f>
        <v>Stillingtagen til kriminalprævention</v>
      </c>
      <c r="T201" s="154" t="str">
        <f>Arbejdsark!D621</f>
        <v xml:space="preserve">SITE1.2
Vægtning: SITE1.2 50 % af pkt. 1 </v>
      </c>
      <c r="U201" s="201">
        <f>Arbejdsark!E621</f>
        <v>5.5500000000000001E-2</v>
      </c>
      <c r="V201" s="295"/>
      <c r="W201" s="154">
        <f>Arbejdsark!R621</f>
        <v>0</v>
      </c>
      <c r="X201" s="295"/>
      <c r="Y201" s="205" t="e">
        <f>Arbejdsark!#REF!</f>
        <v>#REF!</v>
      </c>
    </row>
    <row r="202" spans="1:25" outlineLevel="1" x14ac:dyDescent="0.45">
      <c r="A202" s="34"/>
      <c r="B202" s="34"/>
      <c r="C202" s="34"/>
      <c r="D202" s="34"/>
      <c r="E202" s="34"/>
      <c r="F202" s="34"/>
      <c r="G202" s="34"/>
      <c r="H202" s="34"/>
      <c r="I202" s="34"/>
      <c r="J202" s="34"/>
      <c r="N202" s="295"/>
      <c r="O202" s="295"/>
      <c r="P202" s="295"/>
      <c r="Q202" s="295"/>
      <c r="R202" s="154">
        <f>Arbejdsark!A616</f>
        <v>0</v>
      </c>
      <c r="S202" s="154" t="str">
        <f>Arbejdsark!C616</f>
        <v>Indflydelse/bidrag til forbedring</v>
      </c>
      <c r="T202" s="154" t="str">
        <f>Arbejdsark!D616</f>
        <v>SITE1.2
Vægtning: SITE1.2 50 % af pkt. 2</v>
      </c>
      <c r="U202" s="201">
        <f>Arbejdsark!E616</f>
        <v>5.5500000000000001E-2</v>
      </c>
      <c r="V202" s="295"/>
      <c r="W202" s="154">
        <f>Arbejdsark!R616</f>
        <v>0</v>
      </c>
      <c r="X202" s="295"/>
      <c r="Y202" s="205" t="e">
        <f>Arbejdsark!#REF!</f>
        <v>#REF!</v>
      </c>
    </row>
    <row r="203" spans="1:25" outlineLevel="1" x14ac:dyDescent="0.45">
      <c r="A203" s="34"/>
      <c r="B203" s="34"/>
      <c r="C203" s="34"/>
      <c r="D203" s="34"/>
      <c r="E203" s="34"/>
      <c r="F203" s="34"/>
      <c r="G203" s="34"/>
      <c r="H203" s="34"/>
      <c r="I203" s="34"/>
      <c r="J203" s="34"/>
      <c r="N203" s="295"/>
      <c r="O203" s="295"/>
      <c r="P203" s="295"/>
      <c r="Q203" s="295"/>
      <c r="R203" s="154">
        <f>Arbejdsark!A627</f>
        <v>0</v>
      </c>
      <c r="S203" s="154" t="str">
        <f>Arbejdsark!C627</f>
        <v>Løsningskatalog med konkrete tiltag</v>
      </c>
      <c r="T203" s="154" t="str">
        <f>Arbejdsark!D627</f>
        <v>SITE1.2
Vægtning: SITE1.2 50 % af pkt. 2</v>
      </c>
      <c r="U203" s="201">
        <f>Arbejdsark!E627</f>
        <v>5.5500000000000001E-2</v>
      </c>
      <c r="V203" s="295"/>
      <c r="W203" s="154">
        <f>Arbejdsark!R627</f>
        <v>0</v>
      </c>
      <c r="X203" s="295"/>
      <c r="Y203" s="205" t="e">
        <f>Arbejdsark!#REF!</f>
        <v>#REF!</v>
      </c>
    </row>
    <row r="204" spans="1:25" outlineLevel="1" x14ac:dyDescent="0.45">
      <c r="A204" s="34"/>
      <c r="B204" s="34"/>
      <c r="C204" s="34"/>
      <c r="D204" s="34"/>
      <c r="E204" s="34"/>
      <c r="F204" s="34"/>
      <c r="G204" s="34"/>
      <c r="H204" s="34"/>
      <c r="I204" s="34"/>
      <c r="J204" s="34"/>
      <c r="N204" s="295"/>
      <c r="O204" s="295"/>
      <c r="P204" s="295"/>
      <c r="Q204" s="295"/>
      <c r="R204" s="154">
        <f>Arbejdsark!A632</f>
        <v>0</v>
      </c>
      <c r="S204" s="154">
        <f>Arbejdsark!C632</f>
        <v>0</v>
      </c>
      <c r="T204" s="154">
        <f>Arbejdsark!D632</f>
        <v>0</v>
      </c>
      <c r="U204" s="201">
        <f>Arbejdsark!E632</f>
        <v>0</v>
      </c>
      <c r="V204" s="295"/>
      <c r="W204" s="154">
        <f>Arbejdsark!R632</f>
        <v>0</v>
      </c>
      <c r="X204" s="295"/>
      <c r="Y204" s="205" t="e">
        <f>Arbejdsark!#REF!</f>
        <v>#REF!</v>
      </c>
    </row>
    <row r="205" spans="1:25" outlineLevel="1" x14ac:dyDescent="0.45">
      <c r="A205" s="34"/>
      <c r="B205" s="34"/>
      <c r="C205" s="34"/>
      <c r="D205" s="34"/>
      <c r="E205" s="34"/>
      <c r="F205" s="34"/>
      <c r="G205" s="34"/>
      <c r="H205" s="34"/>
      <c r="I205" s="34"/>
      <c r="J205" s="34"/>
      <c r="N205" s="295"/>
      <c r="O205" s="295"/>
      <c r="P205" s="295"/>
      <c r="Q205" s="295"/>
      <c r="R205" s="154" t="str">
        <f>Arbejdsark!A633</f>
        <v>Trafikforhold</v>
      </c>
      <c r="S205" s="154" t="str">
        <f>Arbejdsark!C633</f>
        <v>Adgangsveje - Bil, cykel og offentlig transport</v>
      </c>
      <c r="T205" s="154" t="str">
        <f>Arbejdsark!D633</f>
        <v xml:space="preserve">SITE1.3 + (SOC2.3 + SOC1.7)
Vægtning: SITE1.3  pkt. 1 + 2 + 3 </v>
      </c>
      <c r="U205" s="201">
        <f>Arbejdsark!E633</f>
        <v>0.21700000000000003</v>
      </c>
      <c r="V205" s="295"/>
      <c r="W205" s="154">
        <f>Arbejdsark!R633</f>
        <v>0</v>
      </c>
      <c r="X205" s="295"/>
      <c r="Y205" s="205" t="e">
        <f>Arbejdsark!#REF!</f>
        <v>#REF!</v>
      </c>
    </row>
    <row r="206" spans="1:25" outlineLevel="1" x14ac:dyDescent="0.45">
      <c r="A206" s="34"/>
      <c r="B206" s="34"/>
      <c r="C206" s="34"/>
      <c r="D206" s="34"/>
      <c r="E206" s="34"/>
      <c r="F206" s="34"/>
      <c r="G206" s="34"/>
      <c r="H206" s="34"/>
      <c r="I206" s="34"/>
      <c r="J206" s="34"/>
      <c r="N206" s="295"/>
      <c r="O206" s="295"/>
      <c r="P206" s="295"/>
      <c r="Q206" s="295"/>
      <c r="R206" s="154">
        <f>Arbejdsark!A638</f>
        <v>0</v>
      </c>
      <c r="S206" s="154" t="str">
        <f>Arbejdsark!C638</f>
        <v>Parkering - Biler, Handicap og cykler</v>
      </c>
      <c r="T206" s="154" t="str">
        <f>Arbejdsark!D638</f>
        <v>SITE1.3 + (SOC2.3 + SOC1.7)
Vægtning: SITE1.3  pkt. 5</v>
      </c>
      <c r="U206" s="201">
        <f>Arbejdsark!E638</f>
        <v>0.05</v>
      </c>
      <c r="V206" s="295"/>
      <c r="W206" s="154">
        <f>Arbejdsark!R638</f>
        <v>0</v>
      </c>
      <c r="X206" s="295"/>
      <c r="Y206" s="205" t="e">
        <f>Arbejdsark!#REF!</f>
        <v>#REF!</v>
      </c>
    </row>
    <row r="207" spans="1:25" outlineLevel="1" x14ac:dyDescent="0.45">
      <c r="A207" s="34"/>
      <c r="B207" s="34"/>
      <c r="C207" s="34"/>
      <c r="D207" s="34"/>
      <c r="E207" s="34"/>
      <c r="F207" s="34"/>
      <c r="G207" s="34"/>
      <c r="H207" s="34"/>
      <c r="I207" s="34"/>
      <c r="J207" s="34"/>
      <c r="N207" s="295"/>
      <c r="O207" s="295"/>
      <c r="P207" s="295"/>
      <c r="Q207" s="295"/>
      <c r="R207" s="154">
        <f>Arbejdsark!A643</f>
        <v>0</v>
      </c>
      <c r="S207" s="154" t="str">
        <f>Arbejdsark!C643</f>
        <v>Faciliteter (ladestandere, bilvask, "kiss'n'ride")</v>
      </c>
      <c r="T207" s="154" t="str">
        <f>Arbejdsark!D643</f>
        <v>SITE1.3
Vægtning: SITE1.3  pkt. 6</v>
      </c>
      <c r="U207" s="201">
        <f>Arbejdsark!E643</f>
        <v>6.7000000000000004E-2</v>
      </c>
      <c r="V207" s="295"/>
      <c r="W207" s="154">
        <f>Arbejdsark!R643</f>
        <v>0</v>
      </c>
      <c r="X207" s="295"/>
      <c r="Y207" s="205" t="e">
        <f>Arbejdsark!#REF!</f>
        <v>#REF!</v>
      </c>
    </row>
    <row r="208" spans="1:25" outlineLevel="1" x14ac:dyDescent="0.45">
      <c r="A208" s="34"/>
      <c r="B208" s="34"/>
      <c r="C208" s="34"/>
      <c r="D208" s="34"/>
      <c r="E208" s="34"/>
      <c r="F208" s="34"/>
      <c r="G208" s="34"/>
      <c r="H208" s="34"/>
      <c r="I208" s="34"/>
      <c r="J208" s="34"/>
      <c r="N208" s="295"/>
      <c r="O208" s="295"/>
      <c r="P208" s="295"/>
      <c r="Q208" s="295"/>
      <c r="R208" s="154">
        <f>Arbejdsark!A647</f>
        <v>0</v>
      </c>
      <c r="S208" s="154">
        <f>Arbejdsark!C647</f>
        <v>0</v>
      </c>
      <c r="T208" s="154">
        <f>Arbejdsark!D647</f>
        <v>0</v>
      </c>
      <c r="U208" s="201">
        <f>Arbejdsark!E647</f>
        <v>0</v>
      </c>
      <c r="V208" s="295"/>
      <c r="W208" s="154">
        <f>Arbejdsark!R647</f>
        <v>0</v>
      </c>
      <c r="X208" s="295"/>
      <c r="Y208" s="205" t="e">
        <f>Arbejdsark!#REF!</f>
        <v>#REF!</v>
      </c>
    </row>
    <row r="209" spans="1:25" outlineLevel="1" x14ac:dyDescent="0.45">
      <c r="A209" s="34"/>
      <c r="B209" s="34"/>
      <c r="C209" s="34"/>
      <c r="D209" s="34"/>
      <c r="E209" s="34"/>
      <c r="F209" s="34"/>
      <c r="G209" s="34"/>
      <c r="H209" s="34"/>
      <c r="I209" s="34"/>
      <c r="J209" s="34"/>
      <c r="N209" s="295"/>
      <c r="O209" s="295"/>
      <c r="P209" s="295"/>
      <c r="Q209" s="295"/>
      <c r="R209" s="154" t="str">
        <f>Arbejdsark!A648</f>
        <v>Servicefunktioner</v>
      </c>
      <c r="S209" s="154" t="str">
        <f>Arbejdsark!C648</f>
        <v>Kortlægning i området</v>
      </c>
      <c r="T209" s="154" t="str">
        <f>Arbejdsark!D648</f>
        <v>SITE1.4</v>
      </c>
      <c r="U209" s="201">
        <f>Arbejdsark!E648</f>
        <v>0.222</v>
      </c>
      <c r="V209" s="295"/>
      <c r="W209" s="154">
        <f>Arbejdsark!R648</f>
        <v>0</v>
      </c>
      <c r="X209" s="295"/>
      <c r="Y209" s="205" t="e">
        <f>Arbejdsark!#REF!</f>
        <v>#REF!</v>
      </c>
    </row>
    <row r="210" spans="1:25" outlineLevel="1" x14ac:dyDescent="0.45">
      <c r="A210" s="34"/>
      <c r="B210" s="34"/>
      <c r="C210" s="34"/>
      <c r="D210" s="34"/>
      <c r="E210" s="34"/>
      <c r="F210" s="34"/>
      <c r="G210" s="34"/>
      <c r="H210" s="34"/>
      <c r="I210" s="34"/>
      <c r="J210" s="34"/>
      <c r="N210" s="295"/>
      <c r="O210" s="295"/>
      <c r="P210" s="295"/>
      <c r="Q210" s="295"/>
      <c r="R210" s="99"/>
      <c r="S210" s="99"/>
      <c r="T210" s="99"/>
      <c r="U210" s="99"/>
      <c r="V210" s="295"/>
      <c r="W210" s="99"/>
      <c r="X210" s="295"/>
      <c r="Y210" s="295"/>
    </row>
    <row r="211" spans="1:25" outlineLevel="1" x14ac:dyDescent="0.45">
      <c r="A211" s="34"/>
      <c r="B211" s="34"/>
      <c r="C211" s="34"/>
      <c r="D211" s="34"/>
      <c r="E211" s="34"/>
      <c r="F211" s="34"/>
      <c r="G211" s="34"/>
      <c r="H211" s="34"/>
      <c r="I211" s="34"/>
      <c r="J211" s="34"/>
      <c r="N211" s="295"/>
      <c r="O211" s="295"/>
      <c r="P211" s="295"/>
      <c r="Q211" s="295"/>
      <c r="R211" s="295"/>
      <c r="S211" s="295"/>
      <c r="T211" s="295"/>
      <c r="U211" s="295"/>
      <c r="V211" s="160"/>
    </row>
    <row r="212" spans="1:25" outlineLevel="1" x14ac:dyDescent="0.45">
      <c r="A212" s="34"/>
      <c r="B212" s="34"/>
      <c r="C212" s="34"/>
      <c r="D212" s="34"/>
      <c r="E212" s="34"/>
      <c r="F212" s="34"/>
      <c r="G212" s="34"/>
      <c r="H212" s="34"/>
      <c r="I212" s="34"/>
      <c r="J212" s="34"/>
      <c r="N212" s="295"/>
      <c r="O212" s="295"/>
      <c r="P212" s="295"/>
      <c r="Q212" s="295"/>
      <c r="R212" s="295"/>
      <c r="S212" s="295"/>
      <c r="T212" s="295"/>
      <c r="U212" s="295"/>
      <c r="V212" s="295"/>
    </row>
    <row r="213" spans="1:25" outlineLevel="1" x14ac:dyDescent="0.45">
      <c r="A213" s="34"/>
      <c r="B213" s="34"/>
      <c r="C213" s="34"/>
      <c r="D213" s="34"/>
      <c r="E213" s="34"/>
      <c r="F213" s="34"/>
      <c r="G213" s="34"/>
      <c r="H213" s="34"/>
      <c r="I213" s="34"/>
      <c r="J213" s="34"/>
      <c r="N213" s="295"/>
      <c r="O213" s="295"/>
      <c r="P213" s="295"/>
      <c r="Q213" s="295"/>
      <c r="R213" s="295"/>
      <c r="S213" s="295"/>
      <c r="T213" s="295"/>
      <c r="U213" s="295"/>
      <c r="V213" s="295"/>
    </row>
    <row r="214" spans="1:25" outlineLevel="1" x14ac:dyDescent="0.45">
      <c r="A214" s="34"/>
      <c r="B214" s="34"/>
      <c r="C214" s="34"/>
      <c r="D214" s="34"/>
      <c r="E214" s="34"/>
      <c r="F214" s="34"/>
      <c r="G214" s="34"/>
      <c r="H214" s="34"/>
      <c r="I214" s="34"/>
      <c r="J214" s="34"/>
      <c r="N214" s="295"/>
      <c r="O214" s="295"/>
      <c r="P214" s="295"/>
      <c r="Q214" s="295"/>
      <c r="R214" s="295"/>
      <c r="S214" s="295"/>
      <c r="T214" s="295"/>
      <c r="U214" s="295"/>
      <c r="V214" s="295"/>
    </row>
    <row r="215" spans="1:25" outlineLevel="1" x14ac:dyDescent="0.45">
      <c r="A215" s="34"/>
      <c r="B215" s="34"/>
      <c r="C215" s="34"/>
      <c r="D215" s="34"/>
      <c r="E215" s="34"/>
      <c r="F215" s="34"/>
      <c r="G215" s="34"/>
      <c r="H215" s="34"/>
      <c r="I215" s="34"/>
      <c r="J215" s="34"/>
      <c r="N215" s="295"/>
      <c r="O215" s="295"/>
      <c r="P215" s="295"/>
      <c r="Q215" s="295"/>
      <c r="R215" s="295"/>
      <c r="S215" s="295"/>
      <c r="T215" s="295"/>
      <c r="U215" s="295"/>
      <c r="V215" s="295"/>
    </row>
    <row r="216" spans="1:25" outlineLevel="1" x14ac:dyDescent="0.45">
      <c r="A216" s="34"/>
      <c r="B216" s="34"/>
      <c r="C216" s="34"/>
      <c r="D216" s="34"/>
      <c r="E216" s="34"/>
      <c r="F216" s="34"/>
      <c r="G216" s="34"/>
      <c r="H216" s="34"/>
      <c r="I216" s="34"/>
      <c r="J216" s="34"/>
      <c r="N216" s="295"/>
      <c r="O216" s="295"/>
      <c r="P216" s="295"/>
      <c r="Q216" s="295"/>
      <c r="R216" s="295"/>
      <c r="S216" s="295"/>
      <c r="T216" s="295"/>
      <c r="U216" s="295"/>
      <c r="V216" s="295"/>
    </row>
    <row r="217" spans="1:25" outlineLevel="1" x14ac:dyDescent="0.45">
      <c r="A217" s="34"/>
      <c r="B217" s="34"/>
      <c r="C217" s="34"/>
      <c r="D217" s="34"/>
      <c r="E217" s="34"/>
      <c r="F217" s="34"/>
      <c r="G217" s="34"/>
      <c r="H217" s="34"/>
      <c r="I217" s="34"/>
      <c r="J217" s="34"/>
      <c r="N217" s="295"/>
      <c r="O217" s="295"/>
      <c r="P217" s="295"/>
      <c r="Q217" s="295"/>
      <c r="R217" s="295"/>
      <c r="S217" s="295"/>
      <c r="T217" s="295"/>
      <c r="U217" s="295"/>
      <c r="V217" s="295"/>
    </row>
    <row r="218" spans="1:25" outlineLevel="1" x14ac:dyDescent="0.45">
      <c r="A218" s="34"/>
      <c r="B218" s="34"/>
      <c r="C218" s="34"/>
      <c r="D218" s="34"/>
      <c r="E218" s="34"/>
      <c r="F218" s="34"/>
      <c r="G218" s="34"/>
      <c r="H218" s="34"/>
      <c r="I218" s="34"/>
      <c r="J218" s="34"/>
      <c r="N218" s="295"/>
      <c r="O218" s="295"/>
      <c r="P218" s="295"/>
      <c r="Q218" s="295"/>
      <c r="R218" s="295"/>
      <c r="S218" s="295"/>
      <c r="T218" s="295"/>
      <c r="U218" s="295"/>
      <c r="V218" s="295"/>
    </row>
    <row r="219" spans="1:25" outlineLevel="1" x14ac:dyDescent="0.45">
      <c r="A219" s="34"/>
      <c r="B219" s="34"/>
      <c r="C219" s="34"/>
      <c r="D219" s="34"/>
      <c r="E219" s="34"/>
      <c r="F219" s="34"/>
      <c r="G219" s="34"/>
      <c r="H219" s="34"/>
      <c r="I219" s="34"/>
      <c r="J219" s="34"/>
      <c r="N219" s="295"/>
      <c r="O219" s="295"/>
      <c r="P219" s="295"/>
      <c r="Q219" s="295"/>
      <c r="R219" s="295"/>
      <c r="S219" s="295"/>
      <c r="T219" s="295"/>
      <c r="U219" s="295"/>
      <c r="V219" s="295"/>
    </row>
    <row r="220" spans="1:25" outlineLevel="1" x14ac:dyDescent="0.45">
      <c r="A220" s="34"/>
      <c r="B220" s="34"/>
      <c r="C220" s="34"/>
      <c r="D220" s="34"/>
      <c r="E220" s="34"/>
      <c r="F220" s="34"/>
      <c r="G220" s="34"/>
      <c r="H220" s="34"/>
      <c r="I220" s="34"/>
      <c r="J220" s="34"/>
      <c r="N220" s="295"/>
      <c r="O220" s="295"/>
      <c r="P220" s="295"/>
      <c r="Q220" s="295"/>
      <c r="R220" s="295"/>
      <c r="S220" s="295"/>
      <c r="T220" s="295"/>
      <c r="U220" s="295"/>
      <c r="V220" s="295"/>
    </row>
    <row r="221" spans="1:25" outlineLevel="1" x14ac:dyDescent="0.45">
      <c r="A221" s="34"/>
      <c r="B221" s="34"/>
      <c r="C221" s="34"/>
      <c r="D221" s="34"/>
      <c r="E221" s="34"/>
      <c r="F221" s="34"/>
      <c r="G221" s="34"/>
      <c r="H221" s="34"/>
      <c r="I221" s="34"/>
      <c r="J221" s="34"/>
      <c r="N221" s="295"/>
      <c r="O221" s="295"/>
      <c r="P221" s="295"/>
      <c r="Q221" s="295"/>
      <c r="R221" s="295"/>
      <c r="S221" s="295"/>
      <c r="T221" s="295"/>
      <c r="U221" s="295"/>
      <c r="V221" s="295"/>
    </row>
    <row r="222" spans="1:25" outlineLevel="1" x14ac:dyDescent="0.45">
      <c r="A222" s="34"/>
      <c r="B222" s="34"/>
      <c r="C222" s="34"/>
      <c r="D222" s="34"/>
      <c r="E222" s="34"/>
      <c r="F222" s="34"/>
      <c r="G222" s="34"/>
      <c r="H222" s="34"/>
      <c r="I222" s="34"/>
      <c r="J222" s="34"/>
      <c r="N222" s="295"/>
      <c r="O222" s="295"/>
      <c r="P222" s="295"/>
      <c r="Q222" s="295"/>
      <c r="R222" s="295"/>
      <c r="S222" s="295"/>
      <c r="T222" s="295"/>
      <c r="U222" s="295"/>
      <c r="V222" s="295"/>
    </row>
    <row r="223" spans="1:25" outlineLevel="1" x14ac:dyDescent="0.45">
      <c r="A223" s="34"/>
      <c r="B223" s="34"/>
      <c r="C223" s="34"/>
      <c r="D223" s="34"/>
      <c r="E223" s="34"/>
      <c r="F223" s="34"/>
      <c r="G223" s="34"/>
      <c r="H223" s="34"/>
      <c r="I223" s="34"/>
      <c r="J223" s="34"/>
      <c r="N223" s="295"/>
      <c r="O223" s="295"/>
      <c r="P223" s="295"/>
      <c r="Q223" s="295"/>
      <c r="R223" s="295"/>
      <c r="S223" s="295"/>
      <c r="T223" s="295"/>
      <c r="U223" s="295"/>
      <c r="V223" s="295"/>
    </row>
    <row r="224" spans="1:25" outlineLevel="1" x14ac:dyDescent="0.45">
      <c r="A224" s="34"/>
      <c r="B224" s="34"/>
      <c r="C224" s="34"/>
      <c r="D224" s="34"/>
      <c r="E224" s="34"/>
      <c r="F224" s="34"/>
      <c r="G224" s="34"/>
      <c r="H224" s="34"/>
      <c r="I224" s="34"/>
      <c r="J224" s="34"/>
      <c r="N224" s="295"/>
      <c r="O224" s="295"/>
      <c r="P224" s="295"/>
      <c r="Q224" s="295"/>
      <c r="R224" s="295"/>
      <c r="S224" s="295"/>
      <c r="T224" s="295"/>
      <c r="U224" s="295"/>
      <c r="V224" s="295"/>
    </row>
    <row r="225" spans="1:22" outlineLevel="1" x14ac:dyDescent="0.45">
      <c r="A225" s="34"/>
      <c r="B225" s="34"/>
      <c r="C225" s="34"/>
      <c r="D225" s="34"/>
      <c r="E225" s="34"/>
      <c r="F225" s="34"/>
      <c r="G225" s="34"/>
      <c r="H225" s="34"/>
      <c r="I225" s="34"/>
      <c r="J225" s="34"/>
      <c r="N225" s="295"/>
      <c r="O225" s="295"/>
      <c r="P225" s="295"/>
      <c r="Q225" s="295"/>
      <c r="R225" s="295"/>
      <c r="S225" s="295"/>
      <c r="T225" s="295"/>
      <c r="U225" s="295"/>
      <c r="V225" s="295"/>
    </row>
    <row r="226" spans="1:22" outlineLevel="1" x14ac:dyDescent="0.45">
      <c r="A226" s="34"/>
      <c r="B226" s="34"/>
      <c r="C226" s="34"/>
      <c r="D226" s="34"/>
      <c r="E226" s="34"/>
      <c r="F226" s="34"/>
      <c r="G226" s="34"/>
      <c r="H226" s="34"/>
      <c r="I226" s="34"/>
      <c r="J226" s="34"/>
      <c r="N226" s="295"/>
      <c r="O226" s="295"/>
      <c r="P226" s="295"/>
      <c r="Q226" s="295"/>
      <c r="R226" s="295"/>
      <c r="S226" s="295"/>
      <c r="T226" s="295"/>
      <c r="U226" s="295"/>
      <c r="V226" s="295"/>
    </row>
    <row r="227" spans="1:22" outlineLevel="1" x14ac:dyDescent="0.45">
      <c r="A227" s="34"/>
      <c r="B227" s="34"/>
      <c r="C227" s="34"/>
      <c r="D227" s="34"/>
      <c r="E227" s="34"/>
      <c r="F227" s="34"/>
      <c r="G227" s="34"/>
      <c r="H227" s="34"/>
      <c r="I227" s="34"/>
      <c r="J227" s="34"/>
    </row>
    <row r="228" spans="1:22" outlineLevel="1" x14ac:dyDescent="0.45">
      <c r="A228" s="34"/>
      <c r="B228" s="34"/>
      <c r="C228" s="34"/>
      <c r="D228" s="34"/>
      <c r="E228" s="34"/>
      <c r="F228" s="34"/>
      <c r="G228" s="34"/>
      <c r="H228" s="34"/>
      <c r="I228" s="34"/>
      <c r="J228" s="34"/>
    </row>
    <row r="229" spans="1:22" ht="15.75" outlineLevel="1" x14ac:dyDescent="0.5">
      <c r="A229" s="80"/>
      <c r="B229" s="34"/>
      <c r="C229" s="34"/>
      <c r="D229" s="34"/>
      <c r="E229" s="34"/>
      <c r="F229" s="34"/>
      <c r="G229" s="34"/>
      <c r="H229" s="34"/>
      <c r="I229" s="34"/>
      <c r="J229" s="34"/>
    </row>
    <row r="230" spans="1:22" outlineLevel="1" x14ac:dyDescent="0.45">
      <c r="A230" s="34"/>
      <c r="B230" s="34"/>
      <c r="C230" s="34"/>
      <c r="D230" s="34"/>
      <c r="E230" s="34"/>
      <c r="F230" s="34"/>
      <c r="G230" s="34"/>
      <c r="H230" s="34"/>
      <c r="I230" s="34"/>
      <c r="J230" s="34"/>
    </row>
    <row r="231" spans="1:22" outlineLevel="1" x14ac:dyDescent="0.45">
      <c r="A231" s="297"/>
      <c r="B231" s="297"/>
      <c r="C231" s="34"/>
      <c r="D231" s="34"/>
      <c r="E231" s="34"/>
      <c r="F231" s="34"/>
      <c r="G231" s="34"/>
      <c r="H231" s="34"/>
      <c r="I231" s="34"/>
      <c r="J231" s="34"/>
    </row>
    <row r="232" spans="1:22" outlineLevel="1" x14ac:dyDescent="0.45">
      <c r="A232" s="297"/>
      <c r="B232" s="297"/>
      <c r="C232" s="34"/>
      <c r="D232" s="34"/>
      <c r="E232" s="34"/>
      <c r="F232" s="34"/>
      <c r="G232" s="34"/>
      <c r="H232" s="34"/>
      <c r="I232" s="34"/>
      <c r="J232" s="34"/>
    </row>
    <row r="233" spans="1:22" outlineLevel="1" x14ac:dyDescent="0.45">
      <c r="A233" s="297"/>
      <c r="B233" s="297"/>
      <c r="C233" s="34"/>
      <c r="D233" s="34"/>
      <c r="E233" s="34"/>
      <c r="F233" s="34"/>
      <c r="G233" s="34"/>
      <c r="H233" s="34"/>
      <c r="I233" s="34"/>
      <c r="J233" s="34"/>
    </row>
    <row r="234" spans="1:22" outlineLevel="1" x14ac:dyDescent="0.45">
      <c r="A234" s="297"/>
      <c r="B234" s="297"/>
      <c r="C234" s="34"/>
      <c r="D234" s="34"/>
      <c r="E234" s="34"/>
      <c r="F234" s="34"/>
      <c r="G234" s="34"/>
      <c r="H234" s="34"/>
      <c r="I234" s="34"/>
      <c r="J234" s="34"/>
    </row>
    <row r="235" spans="1:22" outlineLevel="1" x14ac:dyDescent="0.45">
      <c r="A235" s="297"/>
      <c r="B235" s="297"/>
      <c r="C235" s="34"/>
      <c r="D235" s="34"/>
      <c r="E235" s="34"/>
      <c r="F235" s="34"/>
      <c r="G235" s="34"/>
      <c r="H235" s="34"/>
      <c r="I235" s="34"/>
      <c r="J235" s="34"/>
    </row>
    <row r="236" spans="1:22" outlineLevel="1" x14ac:dyDescent="0.45">
      <c r="A236" s="297"/>
      <c r="B236" s="297"/>
      <c r="C236" s="34"/>
      <c r="D236" s="34"/>
      <c r="E236" s="34"/>
      <c r="F236" s="34"/>
      <c r="G236" s="34"/>
      <c r="H236" s="34"/>
      <c r="I236" s="34"/>
      <c r="J236" s="34"/>
    </row>
    <row r="237" spans="1:22" outlineLevel="1" x14ac:dyDescent="0.45">
      <c r="A237" s="34"/>
      <c r="B237" s="34"/>
      <c r="C237" s="34"/>
      <c r="D237" s="34"/>
      <c r="E237" s="34"/>
      <c r="F237" s="34"/>
      <c r="G237" s="34"/>
      <c r="H237" s="34"/>
      <c r="I237" s="34"/>
      <c r="J237" s="34"/>
    </row>
    <row r="238" spans="1:22" outlineLevel="1" x14ac:dyDescent="0.45">
      <c r="A238" s="34"/>
      <c r="B238" s="34"/>
      <c r="C238" s="34"/>
      <c r="D238" s="34"/>
      <c r="E238" s="34"/>
      <c r="F238" s="34"/>
      <c r="G238" s="34"/>
      <c r="H238" s="34"/>
      <c r="I238" s="34"/>
      <c r="J238" s="34"/>
    </row>
    <row r="239" spans="1:22" outlineLevel="1" x14ac:dyDescent="0.45">
      <c r="A239" s="34"/>
      <c r="B239" s="34"/>
      <c r="C239" s="34"/>
      <c r="D239" s="34"/>
      <c r="E239" s="34"/>
      <c r="F239" s="34"/>
      <c r="G239" s="34"/>
      <c r="H239" s="34"/>
      <c r="I239" s="34"/>
      <c r="J239" s="34"/>
    </row>
    <row r="240" spans="1:22" outlineLevel="1" x14ac:dyDescent="0.45">
      <c r="A240" s="34"/>
      <c r="B240" s="34"/>
      <c r="C240" s="34"/>
      <c r="D240" s="34"/>
      <c r="E240" s="34"/>
      <c r="F240" s="34"/>
      <c r="G240" s="34"/>
      <c r="H240" s="34"/>
      <c r="I240" s="34"/>
      <c r="J240" s="34"/>
    </row>
    <row r="241" spans="1:10" outlineLevel="1" x14ac:dyDescent="0.45">
      <c r="A241" s="34"/>
      <c r="B241" s="34"/>
      <c r="C241" s="34"/>
      <c r="D241" s="34"/>
      <c r="E241" s="34"/>
      <c r="F241" s="34"/>
      <c r="G241" s="34"/>
      <c r="H241" s="34"/>
      <c r="I241" s="34"/>
      <c r="J241" s="34"/>
    </row>
    <row r="242" spans="1:10" outlineLevel="1" x14ac:dyDescent="0.45">
      <c r="A242" s="34"/>
      <c r="B242" s="34"/>
      <c r="C242" s="34"/>
      <c r="D242" s="34"/>
      <c r="E242" s="34"/>
      <c r="F242" s="34"/>
      <c r="G242" s="34"/>
      <c r="H242" s="34"/>
      <c r="I242" s="34"/>
      <c r="J242" s="34"/>
    </row>
    <row r="243" spans="1:10" outlineLevel="1" x14ac:dyDescent="0.45">
      <c r="A243" s="34"/>
      <c r="B243" s="34"/>
      <c r="C243" s="34"/>
      <c r="D243" s="34"/>
      <c r="E243" s="34"/>
      <c r="F243" s="34"/>
      <c r="G243" s="34"/>
      <c r="H243" s="34"/>
      <c r="I243" s="34"/>
      <c r="J243" s="34"/>
    </row>
    <row r="244" spans="1:10" outlineLevel="1" x14ac:dyDescent="0.45">
      <c r="A244" s="34"/>
      <c r="B244" s="34"/>
      <c r="C244" s="34"/>
      <c r="D244" s="34"/>
      <c r="E244" s="34"/>
      <c r="F244" s="34"/>
      <c r="G244" s="34"/>
      <c r="H244" s="34"/>
      <c r="I244" s="34"/>
      <c r="J244" s="34"/>
    </row>
    <row r="245" spans="1:10" outlineLevel="1" x14ac:dyDescent="0.45">
      <c r="A245" s="34"/>
      <c r="B245" s="34"/>
      <c r="C245" s="34"/>
      <c r="D245" s="34"/>
      <c r="E245" s="34"/>
      <c r="F245" s="34"/>
      <c r="G245" s="34"/>
      <c r="H245" s="34"/>
      <c r="I245" s="34"/>
      <c r="J245" s="34"/>
    </row>
    <row r="246" spans="1:10" outlineLevel="1" x14ac:dyDescent="0.45">
      <c r="A246" s="34"/>
      <c r="B246" s="34"/>
      <c r="C246" s="34"/>
      <c r="D246" s="34"/>
      <c r="E246" s="34"/>
      <c r="F246" s="34"/>
      <c r="G246" s="34"/>
      <c r="H246" s="34"/>
      <c r="I246" s="34"/>
      <c r="J246" s="34"/>
    </row>
    <row r="247" spans="1:10" outlineLevel="1" x14ac:dyDescent="0.45">
      <c r="A247" s="34"/>
      <c r="B247" s="34"/>
      <c r="C247" s="34"/>
      <c r="D247" s="34"/>
      <c r="E247" s="34"/>
      <c r="F247" s="34"/>
      <c r="G247" s="34"/>
      <c r="H247" s="34"/>
      <c r="I247" s="34"/>
      <c r="J247" s="34"/>
    </row>
    <row r="248" spans="1:10" outlineLevel="1" x14ac:dyDescent="0.45">
      <c r="A248" s="34"/>
      <c r="B248" s="34"/>
      <c r="C248" s="34"/>
      <c r="D248" s="34"/>
      <c r="E248" s="34"/>
      <c r="F248" s="34"/>
      <c r="G248" s="34"/>
      <c r="H248" s="34"/>
      <c r="I248" s="34"/>
      <c r="J248" s="34"/>
    </row>
    <row r="249" spans="1:10" outlineLevel="1" x14ac:dyDescent="0.45">
      <c r="A249" s="34"/>
      <c r="B249" s="34"/>
      <c r="C249" s="34"/>
      <c r="D249" s="34"/>
      <c r="E249" s="34"/>
      <c r="F249" s="34"/>
      <c r="G249" s="34"/>
      <c r="H249" s="34"/>
      <c r="I249" s="34"/>
      <c r="J249" s="34"/>
    </row>
    <row r="250" spans="1:10" outlineLevel="1" x14ac:dyDescent="0.45">
      <c r="A250" s="34"/>
      <c r="B250" s="34"/>
      <c r="C250" s="34"/>
      <c r="D250" s="34"/>
      <c r="E250" s="34"/>
      <c r="F250" s="34"/>
      <c r="G250" s="34"/>
      <c r="H250" s="34"/>
      <c r="I250" s="34"/>
      <c r="J250" s="34"/>
    </row>
    <row r="251" spans="1:10" outlineLevel="1" x14ac:dyDescent="0.45">
      <c r="A251" s="34"/>
      <c r="B251" s="34"/>
      <c r="C251" s="34"/>
      <c r="D251" s="34"/>
      <c r="E251" s="34"/>
      <c r="F251" s="34"/>
      <c r="G251" s="34"/>
      <c r="H251" s="34"/>
      <c r="I251" s="34"/>
      <c r="J251" s="34"/>
    </row>
    <row r="252" spans="1:10" outlineLevel="1" x14ac:dyDescent="0.45">
      <c r="A252" s="34"/>
      <c r="B252" s="34"/>
      <c r="C252" s="34"/>
      <c r="D252" s="34"/>
      <c r="E252" s="34"/>
      <c r="F252" s="34"/>
      <c r="G252" s="34"/>
      <c r="H252" s="34"/>
      <c r="I252" s="34"/>
      <c r="J252" s="34"/>
    </row>
    <row r="253" spans="1:10" outlineLevel="1" x14ac:dyDescent="0.45">
      <c r="A253" s="34"/>
      <c r="B253" s="34"/>
      <c r="C253" s="34"/>
      <c r="D253" s="34"/>
      <c r="E253" s="34"/>
      <c r="F253" s="34"/>
      <c r="G253" s="34"/>
      <c r="H253" s="34"/>
      <c r="I253" s="34"/>
      <c r="J253" s="34"/>
    </row>
    <row r="254" spans="1:10" outlineLevel="1" x14ac:dyDescent="0.45">
      <c r="A254" s="34"/>
      <c r="B254" s="34"/>
      <c r="C254" s="34"/>
      <c r="D254" s="34"/>
      <c r="E254" s="34"/>
      <c r="F254" s="34"/>
      <c r="G254" s="34"/>
      <c r="H254" s="34"/>
      <c r="I254" s="34"/>
      <c r="J254" s="34"/>
    </row>
    <row r="255" spans="1:10" outlineLevel="1" x14ac:dyDescent="0.45">
      <c r="A255" s="34"/>
      <c r="B255" s="34"/>
      <c r="C255" s="34"/>
      <c r="D255" s="34"/>
      <c r="E255" s="34"/>
      <c r="F255" s="34"/>
      <c r="G255" s="34"/>
      <c r="H255" s="34"/>
      <c r="I255" s="34"/>
      <c r="J255" s="34"/>
    </row>
    <row r="256" spans="1:10" outlineLevel="1" x14ac:dyDescent="0.45">
      <c r="A256" s="34"/>
      <c r="B256" s="34"/>
      <c r="C256" s="34"/>
      <c r="D256" s="34"/>
      <c r="E256" s="34"/>
      <c r="F256" s="34"/>
      <c r="G256" s="34"/>
      <c r="H256" s="34"/>
      <c r="I256" s="34"/>
      <c r="J256" s="34"/>
    </row>
    <row r="257" spans="1:10" outlineLevel="1" x14ac:dyDescent="0.45">
      <c r="A257" s="34"/>
      <c r="B257" s="34"/>
      <c r="C257" s="34"/>
      <c r="D257" s="34"/>
      <c r="E257" s="34"/>
      <c r="F257" s="34"/>
      <c r="G257" s="34"/>
      <c r="H257" s="34"/>
      <c r="I257" s="34"/>
      <c r="J257" s="34"/>
    </row>
    <row r="258" spans="1:10" outlineLevel="1" x14ac:dyDescent="0.45">
      <c r="A258" s="34"/>
      <c r="B258" s="34"/>
      <c r="C258" s="34"/>
      <c r="D258" s="34"/>
      <c r="E258" s="34"/>
      <c r="F258" s="34"/>
      <c r="G258" s="34"/>
      <c r="H258" s="34"/>
      <c r="I258" s="34"/>
      <c r="J258" s="34"/>
    </row>
    <row r="259" spans="1:10" outlineLevel="1" x14ac:dyDescent="0.45">
      <c r="A259" s="34"/>
      <c r="B259" s="34"/>
      <c r="C259" s="34"/>
      <c r="D259" s="34"/>
      <c r="E259" s="34"/>
      <c r="F259" s="34"/>
      <c r="G259" s="34"/>
      <c r="H259" s="34"/>
      <c r="I259" s="34"/>
      <c r="J259" s="34"/>
    </row>
    <row r="260" spans="1:10" outlineLevel="1" x14ac:dyDescent="0.45">
      <c r="A260" s="34"/>
      <c r="B260" s="34"/>
      <c r="C260" s="34"/>
      <c r="D260" s="34"/>
      <c r="E260" s="34"/>
      <c r="F260" s="34"/>
      <c r="G260" s="34"/>
      <c r="H260" s="34"/>
      <c r="I260" s="34"/>
      <c r="J260" s="34"/>
    </row>
    <row r="261" spans="1:10" outlineLevel="1" x14ac:dyDescent="0.45">
      <c r="A261" s="34"/>
      <c r="B261" s="34"/>
      <c r="C261" s="34"/>
      <c r="D261" s="34"/>
      <c r="E261" s="34"/>
      <c r="F261" s="34"/>
      <c r="G261" s="34"/>
      <c r="H261" s="34"/>
      <c r="I261" s="34"/>
      <c r="J261" s="34"/>
    </row>
    <row r="262" spans="1:10" outlineLevel="1" x14ac:dyDescent="0.45">
      <c r="A262" s="34"/>
      <c r="B262" s="34"/>
      <c r="C262" s="34"/>
      <c r="D262" s="34"/>
      <c r="E262" s="34"/>
      <c r="F262" s="34"/>
      <c r="G262" s="34"/>
      <c r="H262" s="34"/>
      <c r="I262" s="34"/>
      <c r="J262" s="34"/>
    </row>
    <row r="263" spans="1:10" outlineLevel="1" x14ac:dyDescent="0.45">
      <c r="A263" s="34"/>
      <c r="B263" s="34"/>
      <c r="C263" s="34"/>
      <c r="D263" s="34"/>
      <c r="E263" s="34"/>
      <c r="F263" s="34"/>
      <c r="G263" s="34"/>
      <c r="H263" s="34"/>
      <c r="I263" s="34"/>
      <c r="J263" s="34"/>
    </row>
    <row r="264" spans="1:10" outlineLevel="1" x14ac:dyDescent="0.45">
      <c r="A264" s="34"/>
      <c r="B264" s="34"/>
      <c r="C264" s="34"/>
      <c r="D264" s="34"/>
      <c r="E264" s="34"/>
      <c r="F264" s="34"/>
      <c r="G264" s="34"/>
      <c r="H264" s="34"/>
      <c r="I264" s="34"/>
      <c r="J264" s="34"/>
    </row>
    <row r="265" spans="1:10" outlineLevel="1" x14ac:dyDescent="0.45">
      <c r="A265" s="34"/>
      <c r="B265" s="34"/>
      <c r="C265" s="34"/>
      <c r="D265" s="34"/>
      <c r="E265" s="34"/>
      <c r="F265" s="34"/>
      <c r="G265" s="34"/>
      <c r="H265" s="34"/>
      <c r="I265" s="34"/>
      <c r="J265" s="34"/>
    </row>
    <row r="266" spans="1:10" outlineLevel="1" x14ac:dyDescent="0.45">
      <c r="A266" s="34"/>
      <c r="B266" s="34"/>
      <c r="C266" s="34"/>
      <c r="D266" s="34"/>
      <c r="E266" s="34"/>
      <c r="F266" s="34"/>
      <c r="G266" s="34"/>
      <c r="H266" s="34"/>
      <c r="I266" s="34"/>
      <c r="J266" s="34"/>
    </row>
    <row r="267" spans="1:10" outlineLevel="1" x14ac:dyDescent="0.45">
      <c r="A267" s="34"/>
      <c r="B267" s="34"/>
      <c r="C267" s="34"/>
      <c r="D267" s="34"/>
      <c r="E267" s="34"/>
      <c r="F267" s="34"/>
      <c r="G267" s="34"/>
      <c r="H267" s="34"/>
      <c r="I267" s="34"/>
      <c r="J267" s="34"/>
    </row>
    <row r="268" spans="1:10" outlineLevel="1" x14ac:dyDescent="0.45">
      <c r="A268" s="34"/>
      <c r="B268" s="34"/>
      <c r="C268" s="34"/>
      <c r="D268" s="34"/>
      <c r="E268" s="34"/>
      <c r="F268" s="34"/>
      <c r="G268" s="34"/>
      <c r="H268" s="34"/>
      <c r="I268" s="34"/>
      <c r="J268" s="34"/>
    </row>
    <row r="269" spans="1:10" outlineLevel="1" x14ac:dyDescent="0.45">
      <c r="A269" s="34"/>
      <c r="B269" s="34"/>
      <c r="C269" s="34"/>
      <c r="D269" s="34"/>
      <c r="E269" s="34"/>
      <c r="F269" s="34"/>
      <c r="G269" s="34"/>
      <c r="H269" s="34"/>
      <c r="I269" s="34"/>
      <c r="J269" s="34"/>
    </row>
    <row r="270" spans="1:10" outlineLevel="1" x14ac:dyDescent="0.45">
      <c r="A270" s="34"/>
      <c r="B270" s="34"/>
      <c r="C270" s="34"/>
      <c r="D270" s="34"/>
      <c r="E270" s="34"/>
      <c r="F270" s="34"/>
      <c r="G270" s="34"/>
      <c r="H270" s="34"/>
      <c r="I270" s="34"/>
      <c r="J270" s="34"/>
    </row>
    <row r="271" spans="1:10" outlineLevel="1" x14ac:dyDescent="0.45">
      <c r="A271" s="34"/>
      <c r="B271" s="34"/>
      <c r="C271" s="34"/>
      <c r="D271" s="34"/>
      <c r="E271" s="34"/>
      <c r="F271" s="34"/>
      <c r="G271" s="34"/>
      <c r="H271" s="34"/>
      <c r="I271" s="34"/>
      <c r="J271" s="34"/>
    </row>
    <row r="272" spans="1:10" outlineLevel="1" x14ac:dyDescent="0.45">
      <c r="A272" s="34"/>
      <c r="B272" s="34"/>
      <c r="C272" s="34"/>
      <c r="D272" s="34"/>
      <c r="E272" s="34"/>
      <c r="F272" s="34"/>
      <c r="G272" s="34"/>
      <c r="H272" s="34"/>
      <c r="I272" s="34"/>
      <c r="J272" s="34"/>
    </row>
    <row r="273" spans="1:10" ht="15.75" outlineLevel="1" x14ac:dyDescent="0.5">
      <c r="A273" s="80"/>
      <c r="B273" s="34"/>
      <c r="C273" s="34"/>
      <c r="D273" s="34"/>
      <c r="E273" s="34"/>
      <c r="F273" s="34"/>
      <c r="G273" s="34"/>
      <c r="H273" s="34"/>
      <c r="I273" s="34"/>
      <c r="J273" s="34"/>
    </row>
    <row r="274" spans="1:10" outlineLevel="1" x14ac:dyDescent="0.45">
      <c r="A274" s="34"/>
      <c r="B274" s="34"/>
      <c r="C274" s="34"/>
      <c r="D274" s="34"/>
      <c r="E274" s="34"/>
      <c r="F274" s="34"/>
      <c r="G274" s="34"/>
      <c r="H274" s="34"/>
      <c r="I274" s="34"/>
      <c r="J274" s="34"/>
    </row>
    <row r="275" spans="1:10" outlineLevel="1" x14ac:dyDescent="0.45">
      <c r="A275" s="297"/>
      <c r="B275" s="297"/>
      <c r="C275" s="34"/>
      <c r="D275" s="34"/>
      <c r="E275" s="34"/>
      <c r="F275" s="34"/>
      <c r="G275" s="34"/>
      <c r="H275" s="34"/>
      <c r="I275" s="34"/>
      <c r="J275" s="34"/>
    </row>
    <row r="276" spans="1:10" outlineLevel="1" x14ac:dyDescent="0.45">
      <c r="A276" s="297"/>
      <c r="B276" s="297"/>
      <c r="C276" s="34"/>
      <c r="D276" s="34"/>
      <c r="E276" s="34"/>
      <c r="F276" s="34"/>
      <c r="G276" s="34"/>
      <c r="H276" s="34"/>
      <c r="I276" s="34"/>
      <c r="J276" s="34"/>
    </row>
    <row r="277" spans="1:10" outlineLevel="1" x14ac:dyDescent="0.45">
      <c r="A277" s="297"/>
      <c r="B277" s="297"/>
      <c r="C277" s="34"/>
      <c r="D277" s="34"/>
      <c r="E277" s="34"/>
      <c r="F277" s="34"/>
      <c r="G277" s="34"/>
      <c r="H277" s="34"/>
      <c r="I277" s="34"/>
      <c r="J277" s="34"/>
    </row>
    <row r="278" spans="1:10" outlineLevel="1" x14ac:dyDescent="0.45">
      <c r="A278" s="297"/>
      <c r="B278" s="297"/>
      <c r="C278" s="34"/>
      <c r="D278" s="34"/>
      <c r="E278" s="34"/>
      <c r="F278" s="34"/>
      <c r="G278" s="34"/>
      <c r="H278" s="34"/>
      <c r="I278" s="34"/>
      <c r="J278" s="34"/>
    </row>
    <row r="279" spans="1:10" outlineLevel="1" x14ac:dyDescent="0.45">
      <c r="A279" s="297"/>
      <c r="B279" s="297"/>
      <c r="C279" s="34"/>
      <c r="D279" s="34"/>
      <c r="E279" s="34"/>
      <c r="F279" s="34"/>
      <c r="G279" s="34"/>
      <c r="H279" s="34"/>
      <c r="I279" s="34"/>
      <c r="J279" s="34"/>
    </row>
    <row r="280" spans="1:10" outlineLevel="1" x14ac:dyDescent="0.45">
      <c r="A280" s="297"/>
      <c r="B280" s="297"/>
      <c r="C280" s="34"/>
      <c r="D280" s="34"/>
      <c r="E280" s="34"/>
      <c r="F280" s="34"/>
      <c r="G280" s="34"/>
      <c r="H280" s="34"/>
      <c r="I280" s="34"/>
      <c r="J280" s="34"/>
    </row>
    <row r="281" spans="1:10" x14ac:dyDescent="0.45">
      <c r="A281" s="34"/>
      <c r="B281" s="34"/>
      <c r="C281" s="34"/>
      <c r="D281" s="34"/>
      <c r="E281" s="34"/>
      <c r="F281" s="34"/>
      <c r="G281" s="34"/>
      <c r="H281" s="34"/>
      <c r="I281" s="34"/>
      <c r="J281" s="34"/>
    </row>
    <row r="282" spans="1:10" x14ac:dyDescent="0.45">
      <c r="A282" s="34"/>
      <c r="B282" s="34"/>
      <c r="C282" s="34"/>
      <c r="D282" s="34"/>
      <c r="E282" s="34"/>
      <c r="F282" s="34"/>
      <c r="G282" s="34"/>
      <c r="H282" s="34"/>
      <c r="I282" s="34"/>
      <c r="J282" s="34"/>
    </row>
    <row r="283" spans="1:10" x14ac:dyDescent="0.45">
      <c r="A283" s="34"/>
      <c r="B283" s="34"/>
      <c r="C283" s="34"/>
      <c r="D283" s="34"/>
      <c r="E283" s="34"/>
      <c r="F283" s="34"/>
      <c r="G283" s="34"/>
      <c r="H283" s="34"/>
      <c r="I283" s="34"/>
      <c r="J283" s="34"/>
    </row>
    <row r="284" spans="1:10" x14ac:dyDescent="0.45">
      <c r="A284" s="34"/>
      <c r="B284" s="34"/>
      <c r="C284" s="34"/>
      <c r="D284" s="34"/>
      <c r="E284" s="34"/>
      <c r="F284" s="34"/>
      <c r="G284" s="34"/>
      <c r="H284" s="34"/>
      <c r="I284" s="34"/>
      <c r="J284" s="34"/>
    </row>
    <row r="285" spans="1:10" x14ac:dyDescent="0.45">
      <c r="A285" s="34"/>
      <c r="B285" s="34"/>
      <c r="C285" s="34"/>
      <c r="D285" s="34"/>
      <c r="E285" s="34"/>
      <c r="F285" s="34"/>
      <c r="G285" s="34"/>
      <c r="H285" s="34"/>
      <c r="I285" s="34"/>
      <c r="J285" s="34"/>
    </row>
    <row r="317" spans="1:5" ht="15" customHeight="1" x14ac:dyDescent="0.45"/>
    <row r="318" spans="1:5" ht="15" hidden="1" customHeight="1" x14ac:dyDescent="0.45">
      <c r="B318" s="71" t="s">
        <v>210</v>
      </c>
      <c r="C318" s="74" t="s">
        <v>211</v>
      </c>
      <c r="D318" s="71" t="s">
        <v>212</v>
      </c>
      <c r="E318" s="71" t="s">
        <v>213</v>
      </c>
    </row>
    <row r="319" spans="1:5" ht="15" hidden="1" customHeight="1" x14ac:dyDescent="0.45">
      <c r="A319" s="74" t="s">
        <v>214</v>
      </c>
      <c r="B319" s="28">
        <f>$V$4</f>
        <v>0</v>
      </c>
      <c r="C319" s="28">
        <f>$U$4</f>
        <v>0.22297740963855422</v>
      </c>
      <c r="D319" s="28">
        <f>$X$4</f>
        <v>0</v>
      </c>
      <c r="E319" s="28">
        <f>$W$4</f>
        <v>0</v>
      </c>
    </row>
    <row r="320" spans="1:5" ht="15" hidden="1" customHeight="1" x14ac:dyDescent="0.45">
      <c r="A320" s="74" t="s">
        <v>214</v>
      </c>
      <c r="B320" s="28">
        <f>$U$4-$V$4</f>
        <v>0.22297740963855422</v>
      </c>
      <c r="D320" s="28">
        <f>$W$4-$X$4</f>
        <v>0</v>
      </c>
    </row>
    <row r="321" spans="1:6" ht="15" hidden="1" customHeight="1" x14ac:dyDescent="0.45">
      <c r="A321" s="74" t="s">
        <v>215</v>
      </c>
      <c r="B321" s="28">
        <f>$V$29</f>
        <v>0</v>
      </c>
      <c r="C321" s="28">
        <f>$U$29</f>
        <v>0.18658341669717987</v>
      </c>
      <c r="D321" s="28">
        <f>$X$29</f>
        <v>0</v>
      </c>
      <c r="E321" s="28">
        <f>$W$29</f>
        <v>0</v>
      </c>
    </row>
    <row r="322" spans="1:6" ht="15" hidden="1" customHeight="1" x14ac:dyDescent="0.45">
      <c r="A322" s="74" t="s">
        <v>215</v>
      </c>
      <c r="B322" s="28">
        <f>$U$29-$V$29</f>
        <v>0.18658341669717987</v>
      </c>
      <c r="D322" s="28">
        <f>$W$29-$X$29</f>
        <v>0</v>
      </c>
    </row>
    <row r="323" spans="1:6" ht="15" hidden="1" customHeight="1" x14ac:dyDescent="0.45">
      <c r="A323" s="74" t="s">
        <v>216</v>
      </c>
      <c r="B323" s="28" t="e">
        <f>$V$48</f>
        <v>#REF!</v>
      </c>
      <c r="C323" s="28" t="e">
        <f>$U$48</f>
        <v>#REF!</v>
      </c>
      <c r="D323" s="28" t="e">
        <f>$X$48</f>
        <v>#REF!</v>
      </c>
      <c r="E323" s="28">
        <f>$W$48</f>
        <v>0</v>
      </c>
    </row>
    <row r="324" spans="1:6" ht="15" hidden="1" customHeight="1" x14ac:dyDescent="0.45">
      <c r="A324" s="74" t="s">
        <v>216</v>
      </c>
      <c r="B324" s="28" t="e">
        <f>$U$48-$V$48</f>
        <v>#REF!</v>
      </c>
      <c r="D324" s="28" t="e">
        <f>$W$48-$X$48</f>
        <v>#REF!</v>
      </c>
    </row>
    <row r="325" spans="1:6" ht="15" hidden="1" customHeight="1" x14ac:dyDescent="0.45">
      <c r="A325" s="74" t="s">
        <v>217</v>
      </c>
      <c r="B325" s="28">
        <f>$V$115</f>
        <v>0</v>
      </c>
      <c r="C325" s="28">
        <f>$U$115</f>
        <v>0.20297822451650427</v>
      </c>
      <c r="D325" s="28">
        <f>$X$115</f>
        <v>0</v>
      </c>
      <c r="E325" s="28">
        <f>$W$115</f>
        <v>0</v>
      </c>
    </row>
    <row r="326" spans="1:6" ht="15" hidden="1" customHeight="1" x14ac:dyDescent="0.45">
      <c r="A326" s="74" t="s">
        <v>217</v>
      </c>
      <c r="B326" s="28">
        <f>$U$115-$V$115</f>
        <v>0.20297822451650427</v>
      </c>
      <c r="D326" s="28">
        <f>$W$115-$X$115</f>
        <v>0</v>
      </c>
    </row>
    <row r="327" spans="1:6" ht="15" hidden="1" customHeight="1" x14ac:dyDescent="0.45">
      <c r="A327" s="74" t="s">
        <v>218</v>
      </c>
      <c r="B327" s="28">
        <f>$V$149</f>
        <v>0</v>
      </c>
      <c r="C327" s="28">
        <f>$U$149</f>
        <v>0.11595410628019323</v>
      </c>
      <c r="D327" s="28">
        <f>$X$149</f>
        <v>0</v>
      </c>
      <c r="E327" s="28">
        <f>$W$149</f>
        <v>0</v>
      </c>
    </row>
    <row r="328" spans="1:6" ht="15" hidden="1" customHeight="1" x14ac:dyDescent="0.45">
      <c r="A328" s="74" t="s">
        <v>218</v>
      </c>
      <c r="B328" s="28">
        <f>$U$149-$V$149</f>
        <v>0.11595410628019323</v>
      </c>
      <c r="D328" s="28">
        <f>$W$149-$X$149</f>
        <v>0</v>
      </c>
    </row>
    <row r="329" spans="1:6" ht="15" hidden="1" customHeight="1" x14ac:dyDescent="0.45">
      <c r="B329" s="28"/>
      <c r="C329" s="28"/>
    </row>
    <row r="330" spans="1:6" ht="15" hidden="1" customHeight="1" x14ac:dyDescent="0.45">
      <c r="B330" s="71" t="s">
        <v>210</v>
      </c>
      <c r="C330" s="74" t="s">
        <v>219</v>
      </c>
      <c r="D330" s="74" t="s">
        <v>220</v>
      </c>
      <c r="E330" s="74" t="s">
        <v>221</v>
      </c>
      <c r="F330" s="71" t="s">
        <v>212</v>
      </c>
    </row>
    <row r="331" spans="1:6" ht="15" hidden="1" customHeight="1" x14ac:dyDescent="0.45">
      <c r="A331" s="74" t="s">
        <v>214</v>
      </c>
      <c r="B331" s="28">
        <f>$V$4/$U$4</f>
        <v>0</v>
      </c>
      <c r="C331" s="76">
        <v>0.65</v>
      </c>
      <c r="D331" s="76">
        <v>0.5</v>
      </c>
      <c r="E331" s="76">
        <v>0.35</v>
      </c>
      <c r="F331" s="28" t="e">
        <f>$X$4/$W$4</f>
        <v>#DIV/0!</v>
      </c>
    </row>
    <row r="332" spans="1:6" ht="15" hidden="1" customHeight="1" x14ac:dyDescent="0.45">
      <c r="A332" s="74" t="s">
        <v>215</v>
      </c>
      <c r="B332" s="28">
        <f>$V$29/$U$29</f>
        <v>0</v>
      </c>
      <c r="C332" s="76">
        <v>0.65</v>
      </c>
      <c r="D332" s="76">
        <v>0.5</v>
      </c>
      <c r="E332" s="76">
        <v>0.35</v>
      </c>
      <c r="F332" s="28" t="e">
        <f>$X$29/$W$29</f>
        <v>#DIV/0!</v>
      </c>
    </row>
    <row r="333" spans="1:6" ht="15" hidden="1" customHeight="1" x14ac:dyDescent="0.45">
      <c r="A333" s="74" t="s">
        <v>216</v>
      </c>
      <c r="B333" s="28" t="e">
        <f>$V$48/$U$48</f>
        <v>#REF!</v>
      </c>
      <c r="C333" s="76">
        <v>0.65</v>
      </c>
      <c r="D333" s="76">
        <v>0.5</v>
      </c>
      <c r="E333" s="76">
        <v>0.35</v>
      </c>
      <c r="F333" s="28" t="e">
        <f>$X$48/$W$48</f>
        <v>#REF!</v>
      </c>
    </row>
    <row r="334" spans="1:6" ht="15" hidden="1" customHeight="1" x14ac:dyDescent="0.45">
      <c r="A334" s="74" t="s">
        <v>217</v>
      </c>
      <c r="B334" s="28">
        <f>$V$115/$U$115</f>
        <v>0</v>
      </c>
      <c r="C334" s="76">
        <v>0.65</v>
      </c>
      <c r="D334" s="76">
        <v>0.5</v>
      </c>
      <c r="E334" s="76">
        <v>0.35</v>
      </c>
      <c r="F334" s="28" t="e">
        <f>$X$115/$W$115</f>
        <v>#DIV/0!</v>
      </c>
    </row>
    <row r="335" spans="1:6" ht="15" hidden="1" customHeight="1" x14ac:dyDescent="0.45">
      <c r="A335" s="74" t="s">
        <v>218</v>
      </c>
      <c r="B335" s="28">
        <f>$V$149/$U$149</f>
        <v>0</v>
      </c>
      <c r="C335" s="76">
        <v>0.65</v>
      </c>
      <c r="D335" s="76">
        <v>0.5</v>
      </c>
      <c r="E335" s="76">
        <v>0.35</v>
      </c>
      <c r="F335" s="28" t="e">
        <f>$X$149/$W$149</f>
        <v>#DIV/0!</v>
      </c>
    </row>
    <row r="336" spans="1:6" ht="15" hidden="1" customHeight="1" x14ac:dyDescent="0.45"/>
    <row r="337" spans="2:5" x14ac:dyDescent="0.45">
      <c r="B337" s="71"/>
      <c r="D337" s="71"/>
      <c r="E337" s="71"/>
    </row>
    <row r="338" spans="2:5" x14ac:dyDescent="0.45">
      <c r="B338" s="28"/>
      <c r="D338" s="28"/>
    </row>
    <row r="339" spans="2:5" x14ac:dyDescent="0.45">
      <c r="B339" s="28"/>
      <c r="D339" s="28"/>
    </row>
    <row r="340" spans="2:5" x14ac:dyDescent="0.45">
      <c r="B340" s="28"/>
      <c r="D340" s="28"/>
    </row>
    <row r="341" spans="2:5" x14ac:dyDescent="0.45">
      <c r="B341" s="28"/>
      <c r="D341" s="28"/>
    </row>
    <row r="342" spans="2:5" x14ac:dyDescent="0.45">
      <c r="B342" s="28"/>
      <c r="D342" s="28"/>
    </row>
    <row r="343" spans="2:5" x14ac:dyDescent="0.45">
      <c r="B343" s="28"/>
      <c r="D343" s="28"/>
    </row>
    <row r="344" spans="2:5" x14ac:dyDescent="0.45">
      <c r="B344" s="28"/>
      <c r="D344" s="28"/>
    </row>
    <row r="345" spans="2:5" x14ac:dyDescent="0.45">
      <c r="B345" s="28"/>
      <c r="D345" s="28"/>
    </row>
    <row r="346" spans="2:5" x14ac:dyDescent="0.45">
      <c r="B346" s="28"/>
      <c r="D346" s="28"/>
    </row>
    <row r="347" spans="2:5" x14ac:dyDescent="0.45">
      <c r="B347" s="28"/>
      <c r="D347" s="28"/>
    </row>
  </sheetData>
  <sheetProtection sheet="1" selectLockedCells="1"/>
  <mergeCells count="2">
    <mergeCell ref="A12:B18"/>
    <mergeCell ref="A156:B162"/>
  </mergeCells>
  <pageMargins left="0.7" right="0.7" top="0.75" bottom="0.75" header="0.3" footer="0.3"/>
  <pageSetup paperSize="8" scale="13" fitToHeight="0" orientation="portrait" r:id="rId1"/>
  <rowBreaks count="2" manualBreakCount="2">
    <brk id="88" max="8" man="1"/>
    <brk id="190"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9">
    <tabColor rgb="FF92D050"/>
    <pageSetUpPr fitToPage="1"/>
  </sheetPr>
  <dimension ref="A1:F247"/>
  <sheetViews>
    <sheetView showWhiteSpace="0" view="pageLayout" zoomScale="60" zoomScaleNormal="100" zoomScaleSheetLayoutView="70" zoomScalePageLayoutView="60" workbookViewId="0">
      <selection activeCell="A2" sqref="A2:E2"/>
    </sheetView>
  </sheetViews>
  <sheetFormatPr defaultColWidth="9" defaultRowHeight="14.25" x14ac:dyDescent="0.45"/>
  <cols>
    <col min="1" max="1" width="9.265625" style="631" customWidth="1"/>
    <col min="2" max="2" width="16" style="631" customWidth="1"/>
    <col min="3" max="3" width="32" style="631" customWidth="1"/>
    <col min="4" max="4" width="23.265625" style="631" customWidth="1"/>
    <col min="5" max="5" width="19.3984375" style="631" customWidth="1"/>
    <col min="6" max="6" width="26.73046875" style="631" customWidth="1"/>
    <col min="7" max="16384" width="9" style="631"/>
  </cols>
  <sheetData>
    <row r="1" spans="1:6" x14ac:dyDescent="0.45">
      <c r="A1" s="629" t="s">
        <v>227</v>
      </c>
      <c r="B1" s="630"/>
      <c r="C1" s="630"/>
      <c r="D1" s="630"/>
      <c r="E1" s="630"/>
      <c r="F1" s="630"/>
    </row>
    <row r="2" spans="1:6" ht="66.75" customHeight="1" x14ac:dyDescent="0.45">
      <c r="A2" s="800" t="s">
        <v>228</v>
      </c>
      <c r="B2" s="800"/>
      <c r="C2" s="800"/>
      <c r="D2" s="800"/>
      <c r="E2" s="800"/>
      <c r="F2" s="632"/>
    </row>
    <row r="3" spans="1:6" x14ac:dyDescent="0.45">
      <c r="A3" s="632"/>
      <c r="B3" s="632"/>
      <c r="C3" s="632"/>
      <c r="D3" s="632"/>
      <c r="E3" s="632"/>
      <c r="F3" s="632"/>
    </row>
    <row r="4" spans="1:6" x14ac:dyDescent="0.45">
      <c r="A4" s="801" t="s">
        <v>229</v>
      </c>
      <c r="B4" s="801"/>
      <c r="C4" s="801"/>
      <c r="D4" s="801"/>
      <c r="E4" s="801"/>
      <c r="F4" s="633"/>
    </row>
    <row r="5" spans="1:6" x14ac:dyDescent="0.45">
      <c r="A5" s="801" t="s">
        <v>230</v>
      </c>
      <c r="B5" s="801"/>
      <c r="C5" s="801"/>
      <c r="D5" s="801"/>
      <c r="E5" s="801"/>
      <c r="F5" s="633"/>
    </row>
    <row r="6" spans="1:6" ht="368.65" customHeight="1" x14ac:dyDescent="0.45">
      <c r="A6" s="804" t="s">
        <v>231</v>
      </c>
      <c r="B6" s="804"/>
      <c r="C6" s="804"/>
      <c r="D6" s="804"/>
      <c r="E6" s="804"/>
      <c r="F6" s="804"/>
    </row>
    <row r="7" spans="1:6" x14ac:dyDescent="0.45">
      <c r="A7" s="634"/>
      <c r="B7" s="634"/>
      <c r="C7" s="634"/>
      <c r="D7" s="634"/>
      <c r="E7" s="634"/>
      <c r="F7" s="634"/>
    </row>
    <row r="8" spans="1:6" x14ac:dyDescent="0.45">
      <c r="A8" s="805" t="s">
        <v>232</v>
      </c>
      <c r="B8" s="805"/>
      <c r="C8" s="805"/>
      <c r="D8" s="805"/>
    </row>
    <row r="9" spans="1:6" ht="14.65" customHeight="1" x14ac:dyDescent="0.45">
      <c r="A9" s="651" t="s">
        <v>233</v>
      </c>
      <c r="B9" s="652" t="s">
        <v>234</v>
      </c>
      <c r="C9" s="652" t="s">
        <v>235</v>
      </c>
      <c r="D9" s="652" t="s">
        <v>61</v>
      </c>
      <c r="E9" s="652" t="s">
        <v>62</v>
      </c>
      <c r="F9" s="653" t="s">
        <v>185</v>
      </c>
    </row>
    <row r="10" spans="1:6" ht="34.9" x14ac:dyDescent="0.45">
      <c r="A10" s="654" t="str">
        <f>'DGNB matrice'!B12</f>
        <v>PRO1.1</v>
      </c>
      <c r="B10" s="654" t="str">
        <f>'DGNB matrice'!C12</f>
        <v>Kvalitet i forberedelsen af projektet</v>
      </c>
      <c r="C10" s="655"/>
      <c r="D10" s="635" t="str">
        <f>IF('Sortering af spørgsmål'!C26="Ikke relevant","-",IF('Sortering af spørgsmål'!C26="Vælg fra rullemenu:","Mangler svar",Arbejdsark!K462))</f>
        <v>Mangler svar</v>
      </c>
      <c r="E10" s="635" t="str">
        <f>IF('Sortering af spørgsmål'!C26="Ikke relevant","-",IF('Sortering af spørgsmål'!C26="Vælg fra rullemenu:","Mangler svar",Arbejdsark!N462))</f>
        <v>Mangler svar</v>
      </c>
      <c r="F10" s="642" t="str">
        <f>IF('Sortering af spørgsmål'!C26=Projektforudsætninger!$C$20,'Dialogpart 1'!K139,IF('Sortering af spørgsmål'!C26=Projektforudsætninger!$C$21,'Dialogpart 2'!K138,IF('Sortering af spørgsmål'!C26=Projektforudsætninger!$C$22,'Dialogpart 3'!K138,IF('Sortering af spørgsmål'!C26=Projektforudsætninger!$C$23,'Dialogpart 4'!K138,IF('Sortering af spørgsmål'!C26=Projektforudsætninger!$C$24,'Dialogpart 5'!K138,IF('Sortering af spørgsmål'!C26=Projektforudsætninger!$C$25,'Dialogpart 6'!K138,IF('Sortering af spørgsmål'!C26=Projektforudsætninger!$C$26,'Dialogpart 7'!K138,"")))))))</f>
        <v/>
      </c>
    </row>
    <row r="11" spans="1:6" x14ac:dyDescent="0.45">
      <c r="A11" s="656"/>
      <c r="B11" s="657" t="str">
        <f>'DGNB matrice'!C13</f>
        <v>1.</v>
      </c>
      <c r="C11" s="658" t="str">
        <f>'DGNB matrice'!D13</f>
        <v>Indledende rådgivning</v>
      </c>
      <c r="D11" s="640"/>
      <c r="E11" s="640"/>
      <c r="F11" s="641"/>
    </row>
    <row r="12" spans="1:6" x14ac:dyDescent="0.45">
      <c r="A12" s="659"/>
      <c r="B12" s="657" t="str">
        <f>'DGNB matrice'!C14</f>
        <v>2.</v>
      </c>
      <c r="C12" s="658" t="str">
        <f>'DGNB matrice'!D14</f>
        <v>Bæredygtighedsmål for projektet</v>
      </c>
      <c r="D12" s="640"/>
      <c r="E12" s="640"/>
      <c r="F12" s="641"/>
    </row>
    <row r="13" spans="1:6" x14ac:dyDescent="0.45">
      <c r="A13" s="660"/>
      <c r="B13" s="657" t="str">
        <f>'DGNB matrice'!C15</f>
        <v>3.</v>
      </c>
      <c r="C13" s="658" t="str">
        <f>'DGNB matrice'!D15</f>
        <v>Brugerens indflydelse på energiforbruget</v>
      </c>
      <c r="D13" s="635" t="str">
        <f>IF('Sortering af spørgsmål'!C27="Ikke relevant","-",IF('Sortering af spørgsmål'!C27="Vælg fra rullemenu:","Mangler svar",Arbejdsark!K467))</f>
        <v>Mangler svar</v>
      </c>
      <c r="E13" s="635" t="str">
        <f>IF('Sortering af spørgsmål'!C27="Ikke relevant","-",IF('Sortering af spørgsmål'!C27="Vælg fra rullemenu:","Mangler svar",Arbejdsark!N467))</f>
        <v>Mangler svar</v>
      </c>
      <c r="F13" s="642" t="str">
        <f>IF('Sortering af spørgsmål'!C27=Projektforudsætninger!$C$20,'Dialogpart 1'!K142,IF('Sortering af spørgsmål'!C27=Projektforudsætninger!$C$21,'Dialogpart 2'!K141,IF('Sortering af spørgsmål'!C27=Projektforudsætninger!$C$22,'Dialogpart 3'!K141,IF('Sortering af spørgsmål'!C27=Projektforudsætninger!$C$23,'Dialogpart 4'!K141,IF('Sortering af spørgsmål'!C27=Projektforudsætninger!$C$24,'Dialogpart 5'!K141,IF('Sortering af spørgsmål'!C27=Projektforudsætninger!$C$25,'Dialogpart 6'!K141,IF('Sortering af spørgsmål'!C27=Projektforudsætninger!$C$26,'Dialogpart 7'!K141,"")))))))</f>
        <v/>
      </c>
    </row>
    <row r="14" spans="1:6" ht="23.25" x14ac:dyDescent="0.45">
      <c r="A14" s="654" t="str">
        <f>'DGNB matrice'!B16</f>
        <v>PRO1.2</v>
      </c>
      <c r="B14" s="654" t="str">
        <f>'DGNB matrice'!C16</f>
        <v xml:space="preserve">Integreret design proces </v>
      </c>
      <c r="C14" s="655"/>
      <c r="D14" s="640"/>
      <c r="E14" s="640"/>
      <c r="F14" s="641"/>
    </row>
    <row r="15" spans="1:6" x14ac:dyDescent="0.45">
      <c r="A15" s="656"/>
      <c r="B15" s="661" t="str">
        <f>'DGNB matrice'!C17</f>
        <v>1.</v>
      </c>
      <c r="C15" s="661" t="str">
        <f>'DGNB matrice'!D17</f>
        <v>Interdisciplinært designteam</v>
      </c>
      <c r="D15" s="635" t="str">
        <f>IF('Sortering af spørgsmål'!C27="Ikke relevant","-",IF('Sortering af spørgsmål'!C27="Vælg fra rullemenu:","Mangler svar",Arbejdsark!K472))</f>
        <v>Mangler svar</v>
      </c>
      <c r="E15" s="635" t="str">
        <f>IF('Sortering af spørgsmål'!C27="Ikke relevant","-",IF('Sortering af spørgsmål'!C27="Vælg fra rullemenu:","Mangler svar",Arbejdsark!N472))</f>
        <v>Mangler svar</v>
      </c>
      <c r="F15" s="642" t="str">
        <f>IF('Sortering af spørgsmål'!C27=Projektforudsætninger!$C$20,'Dialogpart 1'!K143,IF('Sortering af spørgsmål'!C27=Projektforudsætninger!$C$21,'Dialogpart 2'!K142,IF('Sortering af spørgsmål'!C27=Projektforudsætninger!$C$22,'Dialogpart 3'!K142,IF('Sortering af spørgsmål'!C27=Projektforudsætninger!$C$23,'Dialogpart 4'!K142,IF('Sortering af spørgsmål'!C27=Projektforudsætninger!$C$24,'Dialogpart 5'!K142,IF('Sortering af spørgsmål'!C27=Projektforudsætninger!$C$25,'Dialogpart 6'!K142,IF('Sortering af spørgsmål'!C27=Projektforudsætninger!$C$26,'Dialogpart 7'!K142,"")))))))</f>
        <v/>
      </c>
    </row>
    <row r="16" spans="1:6" x14ac:dyDescent="0.45">
      <c r="A16" s="659"/>
      <c r="B16" s="661" t="str">
        <f>'DGNB matrice'!C18</f>
        <v>2.</v>
      </c>
      <c r="C16" s="661" t="str">
        <f>'DGNB matrice'!D18</f>
        <v>Brugerindflydelse</v>
      </c>
      <c r="D16" s="635" t="str">
        <f>IF('Sortering af spørgsmål'!C27="Ikke relevant","-",IF('Sortering af spørgsmål'!C27="Vælg fra rullemenu:","Mangler svar",Arbejdsark!K477))</f>
        <v>Mangler svar</v>
      </c>
      <c r="E16" s="635" t="str">
        <f>IF('Sortering af spørgsmål'!C27="Ikke relevant","-",IF('Sortering af spørgsmål'!C27="Vælg fra rullemenu:","Mangler svar",Arbejdsark!N477))</f>
        <v>Mangler svar</v>
      </c>
      <c r="F16" s="642" t="str">
        <f>IF('Sortering af spørgsmål'!C27=Projektforudsætninger!$C$20,'Dialogpart 1'!K144,IF('Sortering af spørgsmål'!C27=Projektforudsætninger!$C$21,'Dialogpart 2'!K143,IF('Sortering af spørgsmål'!C27=Projektforudsætninger!$C$22,'Dialogpart 3'!K143,IF('Sortering af spørgsmål'!C27=Projektforudsætninger!$C$23,'Dialogpart 4'!K143,IF('Sortering af spørgsmål'!C27=Projektforudsætninger!$C$24,'Dialogpart 5'!K143,IF('Sortering af spørgsmål'!C27=Projektforudsætninger!$C$25,'Dialogpart 6'!K143,IF('Sortering af spørgsmål'!C27=Projektforudsætninger!$C$26,'Dialogpart 7'!K143,"")))))))</f>
        <v/>
      </c>
    </row>
    <row r="17" spans="1:6" x14ac:dyDescent="0.45">
      <c r="A17" s="659"/>
      <c r="B17" s="661" t="str">
        <f>'DGNB matrice'!C19</f>
        <v>3.</v>
      </c>
      <c r="C17" s="661" t="str">
        <f>'DGNB matrice'!D19</f>
        <v>Borgerdeltagelse</v>
      </c>
      <c r="D17" s="635" t="str">
        <f>IF('Sortering af spørgsmål'!C27="Ikke relevant","-",IF('Sortering af spørgsmål'!C27="Vælg fra rullemenu:","Mangler svar",Arbejdsark!K482))</f>
        <v>Mangler svar</v>
      </c>
      <c r="E17" s="635" t="str">
        <f>IF('Sortering af spørgsmål'!C27="Ikke relevant","-",IF('Sortering af spørgsmål'!C27="Vælg fra rullemenu:","Mangler svar",Arbejdsark!N482))</f>
        <v>Mangler svar</v>
      </c>
      <c r="F17" s="642" t="str">
        <f>IF('Sortering af spørgsmål'!C27=Projektforudsætninger!$C$20,'Dialogpart 1'!K145,IF('Sortering af spørgsmål'!C27=Projektforudsætninger!$C$21,'Dialogpart 2'!K144,IF('Sortering af spørgsmål'!C27=Projektforudsætninger!$C$22,'Dialogpart 3'!K144,IF('Sortering af spørgsmål'!C27=Projektforudsætninger!$C$23,'Dialogpart 4'!K144,IF('Sortering af spørgsmål'!C27=Projektforudsætninger!$C$24,'Dialogpart 5'!K144,IF('Sortering af spørgsmål'!C27=Projektforudsætninger!$C$25,'Dialogpart 6'!K144,IF('Sortering af spørgsmål'!C27=Projektforudsætninger!$C$26,'Dialogpart 7'!K144,"")))))))</f>
        <v/>
      </c>
    </row>
    <row r="18" spans="1:6" x14ac:dyDescent="0.45">
      <c r="A18" s="660"/>
      <c r="B18" s="661" t="str">
        <f>'DGNB matrice'!C20</f>
        <v>4.</v>
      </c>
      <c r="C18" s="661" t="str">
        <f>'DGNB matrice'!D20</f>
        <v>Bæredygtighedsplan</v>
      </c>
      <c r="D18" s="635" t="str">
        <f>IF('Sortering af spørgsmål'!C27="Ikke relevant","-",IF('Sortering af spørgsmål'!C27="Vælg fra rullemenu:","Mangler svar",Arbejdsark!K487))</f>
        <v>Mangler svar</v>
      </c>
      <c r="E18" s="635" t="str">
        <f>IF('Sortering af spørgsmål'!C27="Ikke relevant","-",IF('Sortering af spørgsmål'!C27="Vælg fra rullemenu:","Mangler svar",Arbejdsark!N487))</f>
        <v>Mangler svar</v>
      </c>
      <c r="F18" s="642" t="str">
        <f>IF('Sortering af spørgsmål'!C27=Projektforudsætninger!$C$20,'Dialogpart 1'!K146,IF('Sortering af spørgsmål'!C27=Projektforudsætninger!$C$21,'Dialogpart 2'!K145,IF('Sortering af spørgsmål'!C27=Projektforudsætninger!$C$22,'Dialogpart 3'!K145,IF('Sortering af spørgsmål'!C27=Projektforudsætninger!$C$23,'Dialogpart 4'!K145,IF('Sortering af spørgsmål'!C27=Projektforudsætninger!$C$24,'Dialogpart 5'!K145,IF('Sortering af spørgsmål'!C27=Projektforudsætninger!$C$25,'Dialogpart 6'!K145,IF('Sortering af spørgsmål'!C27=Projektforudsætninger!$C$26,'Dialogpart 7'!K145,"")))))))</f>
        <v/>
      </c>
    </row>
    <row r="19" spans="1:6" ht="46.5" x14ac:dyDescent="0.45">
      <c r="A19" s="654" t="str">
        <f>'DGNB matrice'!B21</f>
        <v>PRO1.3</v>
      </c>
      <c r="B19" s="654" t="str">
        <f>'DGNB matrice'!C21</f>
        <v>Vurdering og optimering af kompleksitet i planlægningen</v>
      </c>
      <c r="C19" s="654"/>
      <c r="D19" s="635" t="str">
        <f>IF('Sortering af spørgsmål'!C28="Ikke relevant","-",IF('Sortering af spørgsmål'!C28="Vælg fra rullemenu:","Mangler svar",Arbejdsark!K492))</f>
        <v>Mangler svar</v>
      </c>
      <c r="E19" s="635" t="str">
        <f>IF('Sortering af spørgsmål'!C28="Ikke relevant","-",IF('Sortering af spørgsmål'!C28="Vælg fra rullemenu:","Mangler svar",Arbejdsark!N492))</f>
        <v>Mangler svar</v>
      </c>
      <c r="F19" s="642" t="str">
        <f>IF('Sortering af spørgsmål'!C28=Projektforudsætninger!$C$20,'Dialogpart 1'!K149,IF('Sortering af spørgsmål'!C28=Projektforudsætninger!$C$21,'Dialogpart 2'!K148,IF('Sortering af spørgsmål'!C28=Projektforudsætninger!$C$22,'Dialogpart 3'!K148,IF('Sortering af spørgsmål'!C28=Projektforudsætninger!$C$23,'Dialogpart 4'!K148,IF('Sortering af spørgsmål'!C28=Projektforudsætninger!$C$24,'Dialogpart 5'!K148,IF('Sortering af spørgsmål'!C28=Projektforudsætninger!$C$25,'Dialogpart 6'!K148,IF('Sortering af spørgsmål'!C28=Projektforudsætninger!$C$26,'Dialogpart 7'!K148,"")))))))</f>
        <v/>
      </c>
    </row>
    <row r="20" spans="1:6" x14ac:dyDescent="0.45">
      <c r="A20" s="656"/>
      <c r="B20" s="661" t="str">
        <f>'DGNB matrice'!C22</f>
        <v>1.</v>
      </c>
      <c r="C20" s="661" t="str">
        <f>'DGNB matrice'!D22</f>
        <v>Energikoncept</v>
      </c>
      <c r="D20" s="640" t="str">
        <f>IF('Sortering af spørgsmål'!C28="Ikke relevant","-",IF('Sortering af spørgsmål'!C28="Vælg fra rullemenu:","Mangler svar",Arbejdsark!K492))</f>
        <v>Mangler svar</v>
      </c>
      <c r="E20" s="640" t="str">
        <f>IF('Sortering af spørgsmål'!C28="Ikke relevant","-",IF('Sortering af spørgsmål'!C28="Vælg fra rullemenu:","Mangler svar",Arbejdsark!N492))</f>
        <v>Mangler svar</v>
      </c>
      <c r="F20" s="641" t="str">
        <f>IF(F19="","","Se generel kommentar for kriterium")</f>
        <v/>
      </c>
    </row>
    <row r="21" spans="1:6" x14ac:dyDescent="0.45">
      <c r="A21" s="659"/>
      <c r="B21" s="661" t="str">
        <f>'DGNB matrice'!C23</f>
        <v>2.</v>
      </c>
      <c r="C21" s="661" t="str">
        <f>'DGNB matrice'!D23</f>
        <v>Vandkoncept</v>
      </c>
      <c r="D21" s="640" t="str">
        <f>IF('Sortering af spørgsmål'!C28="Ikke relevant","-",IF('Sortering af spørgsmål'!C28="Vælg fra rullemenu:","Mangler svar",Arbejdsark!K492))</f>
        <v>Mangler svar</v>
      </c>
      <c r="E21" s="640" t="str">
        <f>IF('Sortering af spørgsmål'!C28="Ikke relevant","-",IF('Sortering af spørgsmål'!C28="Vælg fra rullemenu:","Mangler svar",Arbejdsark!N492))</f>
        <v>Mangler svar</v>
      </c>
      <c r="F21" s="641" t="str">
        <f>IF(F19="","","Se generel kommentar for kriterium")</f>
        <v/>
      </c>
    </row>
    <row r="22" spans="1:6" x14ac:dyDescent="0.45">
      <c r="A22" s="659"/>
      <c r="B22" s="661" t="str">
        <f>'DGNB matrice'!C24</f>
        <v>3.</v>
      </c>
      <c r="C22" s="661" t="str">
        <f>'DGNB matrice'!D24</f>
        <v>Optimering af dagslys/kunstigt lys</v>
      </c>
      <c r="D22" s="640" t="str">
        <f>IF('Sortering af spørgsmål'!C28="Ikke relevant","-",IF('Sortering af spørgsmål'!C28="Vælg fra rullemenu:","Mangler svar",Arbejdsark!K492))</f>
        <v>Mangler svar</v>
      </c>
      <c r="E22" s="640" t="str">
        <f>IF('Sortering af spørgsmål'!C28="Ikke relevant","-",IF('Sortering af spørgsmål'!C28="Vælg fra rullemenu:","Mangler svar",Arbejdsark!N492))</f>
        <v>Mangler svar</v>
      </c>
      <c r="F22" s="641" t="str">
        <f>IF(F19="","","Se generel kommentar for kriterium")</f>
        <v/>
      </c>
    </row>
    <row r="23" spans="1:6" x14ac:dyDescent="0.45">
      <c r="A23" s="659"/>
      <c r="B23" s="661" t="str">
        <f>'DGNB matrice'!C25</f>
        <v>4.</v>
      </c>
      <c r="C23" s="661" t="str">
        <f>'DGNB matrice'!D25</f>
        <v>Affaldskoncept</v>
      </c>
      <c r="D23" s="635" t="str">
        <f>IF('Sortering af spørgsmål'!C28="Ikke relevant","-",IF('Sortering af spørgsmål'!C28="Vælg fra rullemenu:","Mangler svar",Arbejdsark!K492))</f>
        <v>Mangler svar</v>
      </c>
      <c r="E23" s="635" t="str">
        <f>IF('Sortering af spørgsmål'!C28="Ikke relevant","-",IF('Sortering af spørgsmål'!C28="Vælg fra rullemenu:","Mangler svar",Arbejdsark!N492))</f>
        <v>Mangler svar</v>
      </c>
      <c r="F23" s="642" t="str">
        <f>IF(F19="","","Se generel kommentar for kriterium")</f>
        <v/>
      </c>
    </row>
    <row r="24" spans="1:6" x14ac:dyDescent="0.45">
      <c r="A24" s="659"/>
      <c r="B24" s="661" t="str">
        <f>'DGNB matrice'!C26</f>
        <v>5.</v>
      </c>
      <c r="C24" s="661" t="str">
        <f>'DGNB matrice'!D26</f>
        <v>Målings- og overvågningskoncept</v>
      </c>
      <c r="D24" s="635" t="str">
        <f>IF('Sortering af spørgsmål'!C28="Ikke relevant","-",IF('Sortering af spørgsmål'!C28="Vælg fra rullemenu:","Mangler svar",Arbejdsark!K492))</f>
        <v>Mangler svar</v>
      </c>
      <c r="E24" s="635" t="str">
        <f>IF('Sortering af spørgsmål'!C28="Ikke relevant","-",IF('Sortering af spørgsmål'!C28="Vælg fra rullemenu:","Mangler svar",Arbejdsark!N492))</f>
        <v>Mangler svar</v>
      </c>
      <c r="F24" s="642" t="str">
        <f>IF(F19="","","Se generel kommentar for kriterium")</f>
        <v/>
      </c>
    </row>
    <row r="25" spans="1:6" ht="34.9" x14ac:dyDescent="0.45">
      <c r="A25" s="659"/>
      <c r="B25" s="661" t="str">
        <f>'DGNB matrice'!C27</f>
        <v>6.</v>
      </c>
      <c r="C25" s="661" t="str">
        <f>'DGNB matrice'!D27</f>
        <v>Koncept til understøtning af bygningens fleksibilitet i forhold til ombygning, nedrivning og genanvendelse</v>
      </c>
      <c r="D25" s="640" t="str">
        <f>IF('Sortering af spørgsmål'!C28="Ikke relevant","-",IF('Sortering af spørgsmål'!C28="Vælg fra rullemenu:","Mangler svar",Arbejdsark!K492))</f>
        <v>Mangler svar</v>
      </c>
      <c r="E25" s="640" t="str">
        <f>IF('Sortering af spørgsmål'!C28="Ikke relevant","-",IF('Sortering af spørgsmål'!C28="Vælg fra rullemenu:","Mangler svar",Arbejdsark!N492))</f>
        <v>Mangler svar</v>
      </c>
      <c r="F25" s="641" t="str">
        <f>IF(F19="","","Se generel kommentar for kriterium")</f>
        <v/>
      </c>
    </row>
    <row r="26" spans="1:6" ht="23.25" x14ac:dyDescent="0.45">
      <c r="A26" s="659"/>
      <c r="B26" s="661" t="str">
        <f>'DGNB matrice'!C28</f>
        <v>7.</v>
      </c>
      <c r="C26" s="661" t="str">
        <f>'DGNB matrice'!D28</f>
        <v>Koncept til sikring af bygningens rengørings- og vedligeholdelsesvenlighed</v>
      </c>
      <c r="D26" s="640" t="str">
        <f>IF('Sortering af spørgsmål'!C28="Ikke relevant","-",IF('Sortering af spørgsmål'!C28="Vælg fra rullemenu:","Mangler svar",Arbejdsark!K492))</f>
        <v>Mangler svar</v>
      </c>
      <c r="E26" s="640" t="str">
        <f>IF('Sortering af spørgsmål'!C28="Ikke relevant","-",IF('Sortering af spørgsmål'!C28="Vælg fra rullemenu:","Mangler svar",Arbejdsark!N492))</f>
        <v>Mangler svar</v>
      </c>
      <c r="F26" s="641" t="str">
        <f>IF(F19="","","Se generel kommentar for kriterium")</f>
        <v/>
      </c>
    </row>
    <row r="27" spans="1:6" ht="23.25" x14ac:dyDescent="0.45">
      <c r="A27" s="659"/>
      <c r="B27" s="661" t="str">
        <f>'DGNB matrice'!C29</f>
        <v>8.</v>
      </c>
      <c r="C27" s="661" t="str">
        <f>'DGNB matrice'!D29</f>
        <v>Vurdering af alternative løsninger ved hjælp af livscyklusvurderinger, LCA</v>
      </c>
      <c r="D27" s="635" t="str">
        <f>IF('Sortering af spørgsmål'!C28="Ikke relevant","-",IF('Sortering af spørgsmål'!C28="Vælg fra rullemenu:","Mangler svar",Arbejdsark!K492))</f>
        <v>Mangler svar</v>
      </c>
      <c r="E27" s="635" t="str">
        <f>IF('Sortering af spørgsmål'!C28="Ikke relevant","-",IF('Sortering af spørgsmål'!C28="Vælg fra rullemenu:","Mangler svar",Arbejdsark!N492))</f>
        <v>Mangler svar</v>
      </c>
      <c r="F27" s="642" t="str">
        <f>IF(F19="","","Se generel kommentar for kriterium")</f>
        <v/>
      </c>
    </row>
    <row r="28" spans="1:6" ht="23.25" x14ac:dyDescent="0.45">
      <c r="A28" s="659"/>
      <c r="B28" s="661" t="str">
        <f>'DGNB matrice'!C30</f>
        <v>9.</v>
      </c>
      <c r="C28" s="661" t="str">
        <f>'DGNB matrice'!D30</f>
        <v>Vurdering af alternative løsninger baseret på levetidsomkostninger, LCC</v>
      </c>
      <c r="D28" s="640" t="str">
        <f>IF('Sortering af spørgsmål'!C28="Ikke relevant","-",IF('Sortering af spørgsmål'!C28="Vælg fra rullemenu:","Mangler svar",Arbejdsark!K492))</f>
        <v>Mangler svar</v>
      </c>
      <c r="E28" s="640" t="str">
        <f>IF('Sortering af spørgsmål'!C28="Ikke relevant","-",IF('Sortering af spørgsmål'!C28="Vælg fra rullemenu:","Mangler svar",Arbejdsark!N492))</f>
        <v>Mangler svar</v>
      </c>
      <c r="F28" s="641" t="str">
        <f>IF(F19="","","Se generel kommentar for kriterium")</f>
        <v/>
      </c>
    </row>
    <row r="29" spans="1:6" x14ac:dyDescent="0.45">
      <c r="A29" s="659"/>
      <c r="B29" s="661" t="str">
        <f>'DGNB matrice'!C31</f>
        <v>10.</v>
      </c>
      <c r="C29" s="661" t="str">
        <f>'DGNB matrice'!D31</f>
        <v>Koncept for klimasikring</v>
      </c>
      <c r="D29" s="635" t="str">
        <f>IF('Sortering af spørgsmål'!C28="Ikke relevant","-",IF('Sortering af spørgsmål'!C28="Vælg fra rullemenu:","Mangler svar",Arbejdsark!K492))</f>
        <v>Mangler svar</v>
      </c>
      <c r="E29" s="635" t="str">
        <f>IF('Sortering af spørgsmål'!C28="Ikke relevant","-",IF('Sortering af spørgsmål'!C28="Vælg fra rullemenu:","Mangler svar",Arbejdsark!N492))</f>
        <v>Mangler svar</v>
      </c>
      <c r="F29" s="642" t="str">
        <f>IF(F19="","","Se generel kommentar for kriterium")</f>
        <v/>
      </c>
    </row>
    <row r="30" spans="1:6" ht="58.15" x14ac:dyDescent="0.45">
      <c r="A30" s="654" t="str">
        <f>'DGNB matrice'!B32</f>
        <v>PRO1.4</v>
      </c>
      <c r="B30" s="654" t="str">
        <f>'DGNB matrice'!C32</f>
        <v>Sikring af bæredygtighedsaspekter i forbindelse med udbudsmateriale og ordretildeling</v>
      </c>
      <c r="C30" s="654"/>
      <c r="D30" s="640"/>
      <c r="E30" s="640"/>
      <c r="F30" s="641"/>
    </row>
    <row r="31" spans="1:6" ht="23.25" x14ac:dyDescent="0.45">
      <c r="A31" s="656"/>
      <c r="B31" s="661" t="str">
        <f>'DGNB matrice'!C33</f>
        <v>1.</v>
      </c>
      <c r="C31" s="661" t="str">
        <f>'DGNB matrice'!D33</f>
        <v>Integration af bæredygtighedsaspekter i udvælgelseskriterierne</v>
      </c>
      <c r="D31" s="635" t="str">
        <f>IF('Sortering af spørgsmål'!C29="Ikke relevant","-",IF('Sortering af spørgsmål'!C29="Vælg fra rullemenu:","Mangler svar",Arbejdsark!K497))</f>
        <v>Mangler svar</v>
      </c>
      <c r="E31" s="635" t="str">
        <f>IF('Sortering af spørgsmål'!C29="Ikke relevant","-",IF('Sortering af spørgsmål'!C29="Vælg fra rullemenu:","Mangler svar",Arbejdsark!N497))</f>
        <v>Mangler svar</v>
      </c>
      <c r="F31" s="642" t="str">
        <f>IF('Sortering af spørgsmål'!C29=Projektforudsætninger!$C$20,'Dialogpart 1'!K152,IF('Sortering af spørgsmål'!C29=Projektforudsætninger!$C$21,'Dialogpart 2'!K151,IF('Sortering af spørgsmål'!C29=Projektforudsætninger!$C$22,'Dialogpart 3'!K151,IF('Sortering af spørgsmål'!C29=Projektforudsætninger!$C$23,'Dialogpart 4'!K151,IF('Sortering af spørgsmål'!C29=Projektforudsætninger!$C$24,'Dialogpart 5'!K151,IF('Sortering af spørgsmål'!C29=Projektforudsætninger!$C$25,'Dialogpart 6'!K151,IF('Sortering af spørgsmål'!C29=Projektforudsætninger!$C$26,'Dialogpart 7'!K151,"")))))))</f>
        <v/>
      </c>
    </row>
    <row r="32" spans="1:6" ht="38.25" customHeight="1" x14ac:dyDescent="0.45">
      <c r="A32" s="660"/>
      <c r="B32" s="661" t="str">
        <f>'DGNB matrice'!C34</f>
        <v>2.</v>
      </c>
      <c r="C32" s="661" t="str">
        <f>'DGNB matrice'!D34</f>
        <v>Integration af bæredygtighedsaspekter i tildelingskriterierne</v>
      </c>
      <c r="D32" s="635" t="str">
        <f>IF('Sortering af spørgsmål'!C29="Ikke relevant","-",IF('Sortering af spørgsmål'!C29="Vælg fra rullemenu:","Mangler svar",Arbejdsark!K497))</f>
        <v>Mangler svar</v>
      </c>
      <c r="E32" s="635" t="str">
        <f>IF('Sortering af spørgsmål'!C29="Ikke relevant","-",IF('Sortering af spørgsmål'!C29="Vælg fra rullemenu:","Mangler svar",Arbejdsark!N497))</f>
        <v>Mangler svar</v>
      </c>
      <c r="F32" s="642" t="str">
        <f>IF(F31="","","Se kommentar til 'Integration af bæredygtighedsaspekter i udvælgelseskriterierne'")</f>
        <v/>
      </c>
    </row>
    <row r="33" spans="1:6" ht="34.9" x14ac:dyDescent="0.45">
      <c r="A33" s="654" t="str">
        <f>'DGNB matrice'!B35</f>
        <v>PRO1.5</v>
      </c>
      <c r="B33" s="654" t="str">
        <f>'DGNB matrice'!C35</f>
        <v>Vejledning om vedligehold og brug af bygningen</v>
      </c>
      <c r="C33" s="654"/>
      <c r="D33" s="640"/>
      <c r="E33" s="640"/>
      <c r="F33" s="641"/>
    </row>
    <row r="34" spans="1:6" x14ac:dyDescent="0.45">
      <c r="A34" s="656"/>
      <c r="B34" s="661" t="str">
        <f>'DGNB matrice'!C36</f>
        <v>1.</v>
      </c>
      <c r="C34" s="661" t="str">
        <f>'DGNB matrice'!D36</f>
        <v>Vejledning om vedligehold, inspektion og drift</v>
      </c>
      <c r="D34" s="635" t="str">
        <f>IF('Sortering af spørgsmål'!C30="Ikke relevant","-",IF('Sortering af spørgsmål'!C30="Vælg fra rullemenu:","Mangler svar",Arbejdsark!K502))</f>
        <v>Mangler svar</v>
      </c>
      <c r="E34" s="635" t="str">
        <f>IF('Sortering af spørgsmål'!C30="Ikke relevant","-",IF('Sortering af spørgsmål'!C30="Vælg fra rullemenu:","Mangler svar",Arbejdsark!N502))</f>
        <v>Mangler svar</v>
      </c>
      <c r="F34" s="642" t="str">
        <f>IF('Sortering af spørgsmål'!C30=Projektforudsætninger!$C$20,'Dialogpart 1'!K155,IF('Sortering af spørgsmål'!C30=Projektforudsætninger!$C$21,'Dialogpart 2'!K154,IF('Sortering af spørgsmål'!C30=Projektforudsætninger!$C$22,'Dialogpart 3'!K154,IF('Sortering af spørgsmål'!C30=Projektforudsætninger!$C$23,'Dialogpart 4'!K154,IF('Sortering af spørgsmål'!C30=Projektforudsætninger!$C$24,'Dialogpart 5'!K154,IF('Sortering af spørgsmål'!C30=Projektforudsætninger!$C$25,'Dialogpart 6'!K154,IF('Sortering af spørgsmål'!C30=Projektforudsætninger!$C$26,'Dialogpart 7'!K154,"")))))))</f>
        <v/>
      </c>
    </row>
    <row r="35" spans="1:6" ht="34.9" x14ac:dyDescent="0.45">
      <c r="A35" s="659"/>
      <c r="B35" s="661" t="str">
        <f>'DGNB matrice'!C37</f>
        <v>2.</v>
      </c>
      <c r="C35" s="661" t="str">
        <f>'DGNB matrice'!D37</f>
        <v>Opdatering af tegningsmateriale, skemaer, beregninger og anden dokumentation, som bygget</v>
      </c>
      <c r="D35" s="635" t="str">
        <f>IF('Sortering af spørgsmål'!C30="Ikke relevant","-",IF('Sortering af spørgsmål'!C30="Vælg fra rullemenu:","Mangler svar",Arbejdsark!K507))</f>
        <v>Mangler svar</v>
      </c>
      <c r="E35" s="635" t="str">
        <f>IF('Sortering af spørgsmål'!C30="Ikke relevant","-",IF('Sortering af spørgsmål'!C30="Vælg fra rullemenu:","Mangler svar",Arbejdsark!N507))</f>
        <v>Mangler svar</v>
      </c>
      <c r="F35" s="642" t="str">
        <f>IF('Sortering af spørgsmål'!C30=Projektforudsætninger!$C$20,'Dialogpart 1'!K156,IF('Sortering af spørgsmål'!C30=Projektforudsætninger!$C$21,'Dialogpart 2'!K155,IF('Sortering af spørgsmål'!C30=Projektforudsætninger!$C$22,'Dialogpart 3'!K155,IF('Sortering af spørgsmål'!C30=Projektforudsætninger!$C$23,'Dialogpart 4'!K155,IF('Sortering af spørgsmål'!C30=Projektforudsætninger!$C$24,'Dialogpart 5'!K155,IF('Sortering af spørgsmål'!C30=Projektforudsætninger!$C$25,'Dialogpart 6'!K155,IF('Sortering af spørgsmål'!C30=Projektforudsætninger!$C$26,'Dialogpart 7'!K155,"")))))))</f>
        <v/>
      </c>
    </row>
    <row r="36" spans="1:6" x14ac:dyDescent="0.45">
      <c r="A36" s="660"/>
      <c r="B36" s="661" t="str">
        <f>'DGNB matrice'!C38</f>
        <v>3.</v>
      </c>
      <c r="C36" s="661" t="str">
        <f>'DGNB matrice'!D38</f>
        <v>Udfærdigelse af brugerhåndbogen</v>
      </c>
      <c r="D36" s="635" t="str">
        <f>IF('Sortering af spørgsmål'!C30="Ikke relevant","-",IF('Sortering af spørgsmål'!C30="Vælg fra rullemenu:","Mangler svar",Arbejdsark!K512))</f>
        <v>Mangler svar</v>
      </c>
      <c r="E36" s="635" t="str">
        <f>IF('Sortering af spørgsmål'!C30="Ikke relevant","-",IF('Sortering af spørgsmål'!C30="Vælg fra rullemenu:","Mangler svar",Arbejdsark!N512))</f>
        <v>Mangler svar</v>
      </c>
      <c r="F36" s="642" t="str">
        <f>IF('Sortering af spørgsmål'!C30=Projektforudsætninger!$C$20,'Dialogpart 1'!K157,IF('Sortering af spørgsmål'!C30=Projektforudsætninger!$C$21,'Dialogpart 2'!K156,IF('Sortering af spørgsmål'!C30=Projektforudsætninger!$C$22,'Dialogpart 3'!K156,IF('Sortering af spørgsmål'!C30=Projektforudsætninger!$C$23,'Dialogpart 4'!K156,IF('Sortering af spørgsmål'!C30=Projektforudsætninger!$C$24,'Dialogpart 5'!K156,IF('Sortering af spørgsmål'!C30=Projektforudsætninger!$C$25,'Dialogpart 6'!K156,IF('Sortering af spørgsmål'!C30=Projektforudsætninger!$C$26,'Dialogpart 7'!K156,"")))))))</f>
        <v/>
      </c>
    </row>
    <row r="37" spans="1:6" ht="23.25" x14ac:dyDescent="0.45">
      <c r="A37" s="654" t="str">
        <f>'DGNB matrice'!B39</f>
        <v>PRO2.1</v>
      </c>
      <c r="B37" s="661" t="str">
        <f>'DGNB matrice'!C39</f>
        <v>Byggeplads/Byggeproces</v>
      </c>
      <c r="C37" s="661"/>
      <c r="D37" s="640"/>
      <c r="E37" s="640"/>
      <c r="F37" s="641"/>
    </row>
    <row r="38" spans="1:6" ht="23.25" x14ac:dyDescent="0.45">
      <c r="A38" s="656"/>
      <c r="B38" s="661" t="str">
        <f>'DGNB matrice'!C40</f>
        <v>1.</v>
      </c>
      <c r="C38" s="661" t="str">
        <f>'DGNB matrice'!D40</f>
        <v xml:space="preserve">Minimering og sortering af affald på byggepladsen </v>
      </c>
      <c r="D38" s="635" t="str">
        <f>IF('Sortering af spørgsmål'!C31="Ikke relevant","-",IF('Sortering af spørgsmål'!C31="Vælg fra rullemenu:","Mangler svar",Arbejdsark!K517))</f>
        <v>Mangler svar</v>
      </c>
      <c r="E38" s="635" t="str">
        <f>IF('Sortering af spørgsmål'!C31="Ikke relevant","-",IF('Sortering af spørgsmål'!C31="Vælg fra rullemenu:","Mangler svar",Arbejdsark!N517))</f>
        <v>Mangler svar</v>
      </c>
      <c r="F38" s="642" t="str">
        <f>IF('Sortering af spørgsmål'!C31=Projektforudsætninger!$C$20,'Dialogpart 1'!K160,IF('Sortering af spørgsmål'!C31=Projektforudsætninger!$C$21,'Dialogpart 2'!K159,IF('Sortering af spørgsmål'!C31=Projektforudsætninger!$C$22,'Dialogpart 3'!K159,IF('Sortering af spørgsmål'!C31=Projektforudsætninger!$C$23,'Dialogpart 4'!K159,IF('Sortering af spørgsmål'!C31=Projektforudsætninger!$C$24,'Dialogpart 5'!K159,IF('Sortering af spørgsmål'!C31=Projektforudsætninger!$C$25,'Dialogpart 6'!K159,IF('Sortering af spørgsmål'!C31=Projektforudsætninger!$C$26,'Dialogpart 7'!K159,"")))))))</f>
        <v/>
      </c>
    </row>
    <row r="39" spans="1:6" x14ac:dyDescent="0.45">
      <c r="A39" s="659"/>
      <c r="B39" s="661" t="str">
        <f>'DGNB matrice'!C41</f>
        <v>2.</v>
      </c>
      <c r="C39" s="661" t="str">
        <f>'DGNB matrice'!D41</f>
        <v>Lavt støj- og vibrationsniveau på byggepladsen</v>
      </c>
      <c r="D39" s="635" t="str">
        <f>IF('Sortering af spørgsmål'!C31="Ikke relevant","-",IF('Sortering af spørgsmål'!C31="Vælg fra rullemenu:","Mangler svar",Arbejdsark!K522))</f>
        <v>Mangler svar</v>
      </c>
      <c r="E39" s="635" t="str">
        <f>IF('Sortering af spørgsmål'!C31="Ikke relevant","-",IF('Sortering af spørgsmål'!C31="Vælg fra rullemenu:","Mangler svar",Arbejdsark!N522))</f>
        <v>Mangler svar</v>
      </c>
      <c r="F39" s="642" t="str">
        <f>IF('Sortering af spørgsmål'!C31=Projektforudsætninger!$C$20,'Dialogpart 1'!K161,IF('Sortering af spørgsmål'!C31=Projektforudsætninger!$C$21,'Dialogpart 2'!K160,IF('Sortering af spørgsmål'!C31=Projektforudsætninger!$C$22,'Dialogpart 3'!K160,IF('Sortering af spørgsmål'!C31=Projektforudsætninger!$C$23,'Dialogpart 4'!K160,IF('Sortering af spørgsmål'!C31=Projektforudsætninger!$C$24,'Dialogpart 5'!K160,IF('Sortering af spørgsmål'!C31=Projektforudsætninger!$C$25,'Dialogpart 6'!K160,IF('Sortering af spørgsmål'!C31=Projektforudsætninger!$C$26,'Dialogpart 7'!K160,"")))))))</f>
        <v/>
      </c>
    </row>
    <row r="40" spans="1:6" x14ac:dyDescent="0.45">
      <c r="A40" s="659"/>
      <c r="B40" s="661" t="str">
        <f>'DGNB matrice'!C42</f>
        <v>3.</v>
      </c>
      <c r="C40" s="661" t="str">
        <f>'DGNB matrice'!D42</f>
        <v>Byggeplads med lavt støvniveau</v>
      </c>
      <c r="D40" s="635" t="str">
        <f>IF('Sortering af spørgsmål'!C31="Ikke relevant","-",IF('Sortering af spørgsmål'!C31="Vælg fra rullemenu:","Mangler svar",Arbejdsark!K527))</f>
        <v>Mangler svar</v>
      </c>
      <c r="E40" s="635" t="str">
        <f>IF('Sortering af spørgsmål'!C31="Ikke relevant","-",IF('Sortering af spørgsmål'!C31="Vælg fra rullemenu:","Mangler svar",Arbejdsark!N527))</f>
        <v>Mangler svar</v>
      </c>
      <c r="F40" s="642" t="str">
        <f>IF('Sortering af spørgsmål'!C31=Projektforudsætninger!$C$20,'Dialogpart 1'!K162,IF('Sortering af spørgsmål'!C31=Projektforudsætninger!$C$21,'Dialogpart 2'!K161,IF('Sortering af spørgsmål'!C31=Projektforudsætninger!$C$22,'Dialogpart 3'!K161,IF('Sortering af spørgsmål'!C31=Projektforudsætninger!$C$23,'Dialogpart 4'!K161,IF('Sortering af spørgsmål'!C31=Projektforudsætninger!$C$24,'Dialogpart 5'!K161,IF('Sortering af spørgsmål'!C31=Projektforudsætninger!$C$25,'Dialogpart 6'!K161,IF('Sortering af spørgsmål'!C31=Projektforudsætninger!$C$26,'Dialogpart 7'!K161,"")))))))</f>
        <v/>
      </c>
    </row>
    <row r="41" spans="1:6" ht="23.25" x14ac:dyDescent="0.45">
      <c r="A41" s="659"/>
      <c r="B41" s="661" t="str">
        <f>'DGNB matrice'!C43</f>
        <v>4.</v>
      </c>
      <c r="C41" s="661" t="str">
        <f>'DGNB matrice'!D43</f>
        <v>Miljøbeskyttelse på byggepladsen (miljøbeskyttelse af byggegrund)</v>
      </c>
      <c r="D41" s="635" t="str">
        <f>IF('Sortering af spørgsmål'!C31="Ikke relevant","-",IF('Sortering af spørgsmål'!C31="Vælg fra rullemenu:","Mangler svar",Arbejdsark!K532))</f>
        <v>Mangler svar</v>
      </c>
      <c r="E41" s="635" t="str">
        <f>IF('Sortering af spørgsmål'!C31="Ikke relevant","-",IF('Sortering af spørgsmål'!C31="Vælg fra rullemenu:","Mangler svar",Arbejdsark!N532))</f>
        <v>Mangler svar</v>
      </c>
      <c r="F41" s="642" t="str">
        <f>IF('Sortering af spørgsmål'!C31=Projektforudsætninger!$C$20,'Dialogpart 1'!K163,IF('Sortering af spørgsmål'!C31=Projektforudsætninger!$C$21,'Dialogpart 2'!K162,IF('Sortering af spørgsmål'!C31=Projektforudsætninger!$C$22,'Dialogpart 3'!K162,IF('Sortering af spørgsmål'!C31=Projektforudsætninger!$C$23,'Dialogpart 4'!K162,IF('Sortering af spørgsmål'!C31=Projektforudsætninger!$C$24,'Dialogpart 5'!K162,IF('Sortering af spørgsmål'!C31=Projektforudsætninger!$C$25,'Dialogpart 6'!K162,IF('Sortering af spørgsmål'!C31=Projektforudsætninger!$C$26,'Dialogpart 7'!K162,"")))))))</f>
        <v/>
      </c>
    </row>
    <row r="42" spans="1:6" x14ac:dyDescent="0.45">
      <c r="A42" s="659"/>
      <c r="B42" s="661" t="str">
        <f>'DGNB matrice'!C44</f>
        <v>5.</v>
      </c>
      <c r="C42" s="661" t="str">
        <f>'DGNB matrice'!D44</f>
        <v>Energiforbrug på byggepladsen</v>
      </c>
      <c r="D42" s="635" t="str">
        <f>IF('Sortering af spørgsmål'!C31="Ikke relevant","-",IF('Sortering af spørgsmål'!C31="Vælg fra rullemenu:","Mangler svar",Arbejdsark!K537))</f>
        <v>Mangler svar</v>
      </c>
      <c r="E42" s="635" t="str">
        <f>IF('Sortering af spørgsmål'!C31="Ikke relevant","-",IF('Sortering af spørgsmål'!C31="Vælg fra rullemenu:","Mangler svar",Arbejdsark!N537))</f>
        <v>Mangler svar</v>
      </c>
      <c r="F42" s="642" t="str">
        <f>IF('Sortering af spørgsmål'!C31=Projektforudsætninger!$C$20,'Dialogpart 1'!K164,IF('Sortering af spørgsmål'!C31=Projektforudsætninger!$C$21,'Dialogpart 2'!K163,IF('Sortering af spørgsmål'!C31=Projektforudsætninger!$C$22,'Dialogpart 3'!K163,IF('Sortering af spørgsmål'!C31=Projektforudsætninger!$C$23,'Dialogpart 4'!K163,IF('Sortering af spørgsmål'!C31=Projektforudsætninger!$C$24,'Dialogpart 5'!K163,IF('Sortering af spørgsmål'!C31=Projektforudsætninger!$C$25,'Dialogpart 6'!K163,IF('Sortering af spørgsmål'!C31=Projektforudsætninger!$C$26,'Dialogpart 7'!K163,"")))))))</f>
        <v/>
      </c>
    </row>
    <row r="43" spans="1:6" x14ac:dyDescent="0.45">
      <c r="A43" s="660"/>
      <c r="B43" s="661" t="str">
        <f>'DGNB matrice'!C45</f>
        <v>6.</v>
      </c>
      <c r="C43" s="661" t="str">
        <f>'DGNB matrice'!D45</f>
        <v>Naboinformation</v>
      </c>
      <c r="D43" s="635" t="str">
        <f>IF('Sortering af spørgsmål'!C31="Ikke relevant","-",IF('Sortering af spørgsmål'!C31="Vælg fra rullemenu:","Mangler svar",Arbejdsark!K542))</f>
        <v>Mangler svar</v>
      </c>
      <c r="E43" s="635" t="str">
        <f>IF('Sortering af spørgsmål'!C31="Ikke relevant","-",IF('Sortering af spørgsmål'!C31="Vælg fra rullemenu:","Mangler svar",Arbejdsark!N542))</f>
        <v>Mangler svar</v>
      </c>
      <c r="F43" s="642" t="str">
        <f>IF('Sortering af spørgsmål'!C31=Projektforudsætninger!$C$20,'Dialogpart 1'!K165,IF('Sortering af spørgsmål'!C31=Projektforudsætninger!$C$21,'Dialogpart 2'!K164,IF('Sortering af spørgsmål'!C31=Projektforudsætninger!$C$22,'Dialogpart 3'!K164,IF('Sortering af spørgsmål'!C31=Projektforudsætninger!$C$23,'Dialogpart 4'!K164,IF('Sortering af spørgsmål'!C31=Projektforudsætninger!$C$24,'Dialogpart 5'!K164,IF('Sortering af spørgsmål'!C31=Projektforudsætninger!$C$25,'Dialogpart 6'!K164,IF('Sortering af spørgsmål'!C31=Projektforudsætninger!$C$26,'Dialogpart 7'!K164,"")))))))</f>
        <v/>
      </c>
    </row>
    <row r="44" spans="1:6" ht="23.25" x14ac:dyDescent="0.45">
      <c r="A44" s="654" t="str">
        <f>'DGNB matrice'!B47</f>
        <v>PRO2.2</v>
      </c>
      <c r="B44" s="654" t="str">
        <f>'DGNB matrice'!C47</f>
        <v>Dokumentation af kvalitet i udførelsen</v>
      </c>
      <c r="C44" s="654"/>
      <c r="D44" s="640"/>
      <c r="E44" s="640"/>
      <c r="F44" s="641"/>
    </row>
    <row r="45" spans="1:6" ht="23.25" x14ac:dyDescent="0.45">
      <c r="A45" s="656"/>
      <c r="B45" s="661" t="str">
        <f>'DGNB matrice'!C48</f>
        <v>1.</v>
      </c>
      <c r="C45" s="661" t="str">
        <f>'DGNB matrice'!D48</f>
        <v>Dokumentation af de anvendte materialer og hjælpestoffer</v>
      </c>
      <c r="D45" s="635" t="str">
        <f>IF('Sortering af spørgsmål'!C32="Ikke relevant","-",IF('Sortering af spørgsmål'!C32="Vælg fra rullemenu:","Mangler svar",Arbejdsark!K548))</f>
        <v>Mangler svar</v>
      </c>
      <c r="E45" s="635" t="str">
        <f>IF('Sortering af spørgsmål'!C32="Ikke relevant","-",IF('Sortering af spørgsmål'!C32="Vælg fra rullemenu:","Mangler svar",Arbejdsark!N548))</f>
        <v>Mangler svar</v>
      </c>
      <c r="F45" s="642" t="str">
        <f>IF('Sortering af spørgsmål'!C32=Projektforudsætninger!$C$20,'Dialogpart 1'!K168,IF('Sortering af spørgsmål'!C32=Projektforudsætninger!$C$21,'Dialogpart 2'!K167,IF('Sortering af spørgsmål'!C32=Projektforudsætninger!$C$22,'Dialogpart 3'!K167,IF('Sortering af spørgsmål'!C32=Projektforudsætninger!$C$23,'Dialogpart 4'!K167,IF('Sortering af spørgsmål'!C32=Projektforudsætninger!$C$24,'Dialogpart 5'!K167,IF('Sortering af spørgsmål'!C32=Projektforudsætninger!$C$25,'Dialogpart 6'!K167,IF('Sortering af spørgsmål'!C32=Projektforudsætninger!$C$26,'Dialogpart 7'!K167,"")))))))</f>
        <v/>
      </c>
    </row>
    <row r="46" spans="1:6" ht="23.25" x14ac:dyDescent="0.45">
      <c r="A46" s="659"/>
      <c r="B46" s="661" t="str">
        <f>'DGNB matrice'!C49</f>
        <v>2.1</v>
      </c>
      <c r="C46" s="661" t="str">
        <f>'DGNB matrice'!D49</f>
        <v>Måling af lufttætheden og termografisk undersøgelse</v>
      </c>
      <c r="D46" s="635" t="str">
        <f>IF('Sortering af spørgsmål'!C32="Ikke relevant","-",IF('Sortering af spørgsmål'!C32="Vælg fra rullemenu:","Mangler svar",Arbejdsark!K563))</f>
        <v>Mangler svar</v>
      </c>
      <c r="E46" s="635" t="str">
        <f>IF('Sortering af spørgsmål'!C32="Ikke relevant","-",IF('Sortering af spørgsmål'!C32="Vælg fra rullemenu:","Mangler svar",Arbejdsark!N563))</f>
        <v>Mangler svar</v>
      </c>
      <c r="F46" s="642" t="str">
        <f>IF('Sortering af spørgsmål'!C32=Projektforudsætninger!$C$20,'Dialogpart 1'!K171,IF('Sortering af spørgsmål'!C32=Projektforudsætninger!$C$21,'Dialogpart 2'!K170,IF('Sortering af spørgsmål'!C32=Projektforudsætninger!$C$22,'Dialogpart 3'!K170,IF('Sortering af spørgsmål'!C32=Projektforudsætninger!$C$23,'Dialogpart 4'!K170,IF('Sortering af spørgsmål'!C32=Projektforudsætninger!$C$24,'Dialogpart 5'!K170,IF('Sortering af spørgsmål'!C32=Projektforudsætninger!$C$25,'Dialogpart 6'!K170,IF('Sortering af spørgsmål'!C32=Projektforudsætninger!$C$26,'Dialogpart 7'!K170,"")))))))</f>
        <v/>
      </c>
    </row>
    <row r="47" spans="1:6" x14ac:dyDescent="0.45">
      <c r="A47" s="659"/>
      <c r="B47" s="661" t="str">
        <f>'DGNB matrice'!C50</f>
        <v>2.2</v>
      </c>
      <c r="C47" s="661" t="str">
        <f>'DGNB matrice'!D50</f>
        <v>Måling af lydisolering/støjbeskyttelse</v>
      </c>
      <c r="D47" s="635" t="str">
        <f>IF('Sortering af spørgsmål'!C32="Ikke relevant","-",IF('Sortering af spørgsmål'!C32="Vælg fra rullemenu:","Mangler svar",Arbejdsark!K553))</f>
        <v>Mangler svar</v>
      </c>
      <c r="E47" s="635" t="str">
        <f>IF('Sortering af spørgsmål'!C32="Ikke relevant","-",IF('Sortering af spørgsmål'!C32="Vælg fra rullemenu:","Mangler svar",Arbejdsark!N553))</f>
        <v>Mangler svar</v>
      </c>
      <c r="F47" s="642" t="str">
        <f>IF('Sortering af spørgsmål'!C32=Projektforudsætninger!$C$20,'Dialogpart 1'!K169,IF('Sortering af spørgsmål'!C32=Projektforudsætninger!$C$21,'Dialogpart 2'!K168,IF('Sortering af spørgsmål'!C32=Projektforudsætninger!$C$22,'Dialogpart 3'!K168,IF('Sortering af spørgsmål'!C32=Projektforudsætninger!$C$23,'Dialogpart 4'!K168,IF('Sortering af spørgsmål'!C32=Projektforudsætninger!$C$24,'Dialogpart 5'!K168,IF('Sortering af spørgsmål'!C32=Projektforudsætninger!$C$25,'Dialogpart 6'!K168,IF('Sortering af spørgsmål'!C32=Projektforudsætninger!$C$26,'Dialogpart 7'!K168,"")))))))</f>
        <v/>
      </c>
    </row>
    <row r="48" spans="1:6" x14ac:dyDescent="0.45">
      <c r="A48" s="660"/>
      <c r="B48" s="661" t="str">
        <f>'DGNB matrice'!C51</f>
        <v>2.3</v>
      </c>
      <c r="C48" s="661" t="str">
        <f>'DGNB matrice'!D51</f>
        <v>Fugtindhold i byggematerialer</v>
      </c>
      <c r="D48" s="635" t="str">
        <f>IF('Sortering af spørgsmål'!C32="Ikke relevant","-",IF('Sortering af spørgsmål'!C32="Vælg fra rullemenu:","Mangler svar",Arbejdsark!K558))</f>
        <v>Mangler svar</v>
      </c>
      <c r="E48" s="635" t="str">
        <f>IF('Sortering af spørgsmål'!C32="Ikke relevant","-",IF('Sortering af spørgsmål'!C32="Vælg fra rullemenu:","Mangler svar",Arbejdsark!N558))</f>
        <v>Mangler svar</v>
      </c>
      <c r="F48" s="642" t="str">
        <f>IF('Sortering af spørgsmål'!C32=Projektforudsætninger!$C$20,'Dialogpart 1'!K170,IF('Sortering af spørgsmål'!C32=Projektforudsætninger!$C$21,'Dialogpart 2'!K169,IF('Sortering af spørgsmål'!C32=Projektforudsætninger!$C$22,'Dialogpart 3'!K169,IF('Sortering af spørgsmål'!C32=Projektforudsætninger!$C$23,'Dialogpart 4'!K169,IF('Sortering af spørgsmål'!C32=Projektforudsætninger!$C$24,'Dialogpart 5'!K169,IF('Sortering af spørgsmål'!C32=Projektforudsætninger!$C$25,'Dialogpart 6'!K169,IF('Sortering af spørgsmål'!C32=Projektforudsætninger!$C$26,'Dialogpart 7'!K169,"")))))))</f>
        <v/>
      </c>
    </row>
    <row r="49" spans="1:6" x14ac:dyDescent="0.45">
      <c r="A49" s="662"/>
      <c r="B49" s="663"/>
      <c r="C49" s="664"/>
      <c r="D49" s="640"/>
      <c r="E49" s="640"/>
      <c r="F49" s="641"/>
    </row>
    <row r="50" spans="1:6" ht="46.5" x14ac:dyDescent="0.45">
      <c r="A50" s="654" t="str">
        <f>'DGNB matrice'!B54</f>
        <v>ENV1.1</v>
      </c>
      <c r="B50" s="654" t="str">
        <f>'DGNB matrice'!C54</f>
        <v>Livscyklusvurdering (LCA) - Miljøpåvirkninger</v>
      </c>
      <c r="C50" s="665"/>
      <c r="D50" s="639" t="str">
        <f>Projektforudsætninger!A32</f>
        <v>Hvilke krav stiller lokalplanen til bygningernes miljøbelastning (f.eks. energiramme eller frivillig bæredygtighedsklasse)?</v>
      </c>
      <c r="E50" s="639"/>
      <c r="F50" s="636" t="str">
        <f>IF(Projektforudsætninger!C32="Indsæt kort beskrivelse af planrammernes krav.","",Projektforudsætninger!C32)</f>
        <v/>
      </c>
    </row>
    <row r="51" spans="1:6" x14ac:dyDescent="0.45">
      <c r="A51" s="666"/>
      <c r="B51" s="663"/>
      <c r="C51" s="655"/>
      <c r="D51" s="635" t="str">
        <f>IF('Sortering af spørgsmål'!C6="Ikke relevant","-",IF('Sortering af spørgsmål'!C6="Vælg fra rullemenu:","Mangler svar",Arbejdsark!K20))</f>
        <v>Mangler svar</v>
      </c>
      <c r="E51" s="635" t="str">
        <f>IF('Sortering af spørgsmål'!C6="Ikke relevant","-",IF('Sortering af spørgsmål'!C6="Vælg fra rullemenu:","Mangler svar",Arbejdsark!N20))</f>
        <v>Mangler svar</v>
      </c>
      <c r="F51" s="636" t="str">
        <f>IF('Sortering af spørgsmål'!C6=Projektforudsætninger!$C$20,'Dialogpart 1'!K9,IF('Sortering af spørgsmål'!C6=Projektforudsætninger!$C$21,'Dialogpart 2'!K9,IF('Sortering af spørgsmål'!C6=Projektforudsætninger!$C$22,'Dialogpart 3'!K9,IF('Sortering af spørgsmål'!C6=Projektforudsætninger!$C$23,'Dialogpart 4'!K9,IF('Sortering af spørgsmål'!C6=Projektforudsætninger!$C$24,'Dialogpart 5'!K9,IF('Sortering af spørgsmål'!C6=Projektforudsætninger!$C$25,'Dialogpart 6'!K9,IF('Sortering af spørgsmål'!C6=Projektforudsætninger!$C$26,'Dialogpart 7'!K9,"")))))))</f>
        <v/>
      </c>
    </row>
    <row r="52" spans="1:6" x14ac:dyDescent="0.45">
      <c r="A52" s="655"/>
      <c r="B52" s="667"/>
      <c r="C52" s="667"/>
      <c r="D52" s="635" t="str">
        <f>IF(D51=Arbejdsark!K30,"",IF('Sortering af spørgsmål'!C7="Ikke relevant","-",IF('Sortering af spørgsmål'!C7="Vælg fra rullemenu:","Mangler svar",Arbejdsark!K30)))</f>
        <v>Mangler svar</v>
      </c>
      <c r="E52" s="635" t="str">
        <f>IF(E51=Arbejdsark!N30,"",IF('Sortering af spørgsmål'!C7="Ikke relevant","-",IF('Sortering af spørgsmål'!C7="Vælg fra rullemenu:","Mangler svar",Arbejdsark!N30)))</f>
        <v>Mangler svar</v>
      </c>
      <c r="F52" s="636" t="str">
        <f>IF('Sortering af spørgsmål'!C7=Projektforudsætninger!$C$20,'Dialogpart 1'!K13,IF('Sortering af spørgsmål'!C7=Projektforudsætninger!$C$21,'Dialogpart 2'!K13,IF('Sortering af spørgsmål'!C7=Projektforudsætninger!$C$22,'Dialogpart 3'!K13,IF('Sortering af spørgsmål'!C7=Projektforudsætninger!$C$23,'Dialogpart 4'!K13,IF('Sortering af spørgsmål'!C7=Projektforudsætninger!$C$24,'Dialogpart 5'!K13,IF('Sortering af spørgsmål'!C7=Projektforudsætninger!$C$25,'Dialogpart 6'!K13,IF('Sortering af spørgsmål'!C7=Projektforudsætninger!$C$26,'Dialogpart 7'!K13,"")))))))</f>
        <v/>
      </c>
    </row>
    <row r="53" spans="1:6" hidden="1" x14ac:dyDescent="0.45">
      <c r="A53" s="656"/>
      <c r="B53" s="668" t="str">
        <f>'DGNB matrice'!C55</f>
        <v>1.</v>
      </c>
      <c r="C53" s="669" t="str">
        <f>'DGNB matrice'!D55</f>
        <v>Global opvarming (GWP)</v>
      </c>
      <c r="D53" s="637"/>
      <c r="E53" s="637"/>
      <c r="F53" s="638"/>
    </row>
    <row r="54" spans="1:6" hidden="1" x14ac:dyDescent="0.45">
      <c r="A54" s="659"/>
      <c r="B54" s="668" t="str">
        <f>'DGNB matrice'!C56</f>
        <v>2.</v>
      </c>
      <c r="C54" s="669" t="str">
        <f>'DGNB matrice'!D56</f>
        <v>Ozonnedbrydning (ODP)</v>
      </c>
      <c r="D54" s="637"/>
      <c r="E54" s="637"/>
      <c r="F54" s="638"/>
    </row>
    <row r="55" spans="1:6" hidden="1" x14ac:dyDescent="0.45">
      <c r="A55" s="659"/>
      <c r="B55" s="668" t="str">
        <f>'DGNB matrice'!C57</f>
        <v>3.</v>
      </c>
      <c r="C55" s="669" t="str">
        <f>'DGNB matrice'!D57</f>
        <v>Fotokemisk ozondannelse (POCP)</v>
      </c>
      <c r="D55" s="637"/>
      <c r="E55" s="637"/>
      <c r="F55" s="638"/>
    </row>
    <row r="56" spans="1:6" hidden="1" x14ac:dyDescent="0.45">
      <c r="A56" s="659"/>
      <c r="B56" s="668" t="str">
        <f>'DGNB matrice'!C58</f>
        <v>4.</v>
      </c>
      <c r="C56" s="669" t="str">
        <f>'DGNB matrice'!D58</f>
        <v>Forsuring (AP)</v>
      </c>
      <c r="D56" s="637"/>
      <c r="E56" s="637"/>
      <c r="F56" s="638"/>
    </row>
    <row r="57" spans="1:6" hidden="1" x14ac:dyDescent="0.45">
      <c r="A57" s="660"/>
      <c r="B57" s="668" t="str">
        <f>'DGNB matrice'!C59</f>
        <v>5.</v>
      </c>
      <c r="C57" s="669" t="str">
        <f>'DGNB matrice'!D59</f>
        <v>Næringssaltbelastning (EP)</v>
      </c>
      <c r="D57" s="637"/>
      <c r="E57" s="637"/>
      <c r="F57" s="638"/>
    </row>
    <row r="58" spans="1:6" ht="23.25" x14ac:dyDescent="0.45">
      <c r="A58" s="654" t="str">
        <f>'DGNB matrice'!B60</f>
        <v>ENV1.2</v>
      </c>
      <c r="B58" s="654" t="str">
        <f>'DGNB matrice'!C60</f>
        <v>Miljøricisi relateret til byggevarer</v>
      </c>
      <c r="C58" s="655"/>
      <c r="D58" s="639" t="str">
        <f>IF('Sortering af spørgsmål'!C6="Ikke relevant","-",IF('Sortering af spørgsmål'!C6="Vælg fra rullemenu:","Mangler svar",Arbejdsark!K10))</f>
        <v>Mangler svar</v>
      </c>
      <c r="E58" s="639" t="str">
        <f>IF('Sortering af spørgsmål'!C6="Ikke relevant","-",IF('Sortering af spørgsmål'!C6="Vælg fra rullemenu:","Mangler svar",Arbejdsark!N10))</f>
        <v>Mangler svar</v>
      </c>
      <c r="F58" s="636" t="str">
        <f>IF('Sortering af spørgsmål'!C6=Projektforudsætninger!$C$20,'Dialogpart 1'!K7,IF('Sortering af spørgsmål'!C6=Projektforudsætninger!$C$21,'Dialogpart 2'!K7,IF('Sortering af spørgsmål'!C6=Projektforudsætninger!$C$22,'Dialogpart 3'!K7,IF('Sortering af spørgsmål'!C6=Projektforudsætninger!$C$23,'Dialogpart 4'!K7,IF('Sortering af spørgsmål'!C6=Projektforudsætninger!$C$24,'Dialogpart 5'!K7,IF('Sortering af spørgsmål'!C6=Projektforudsætninger!$C$25,'Dialogpart 6'!K7,IF('Sortering af spørgsmål'!C6=Projektforudsætninger!$C$26,'Dialogpart 7'!K7,"")))))))</f>
        <v/>
      </c>
    </row>
    <row r="59" spans="1:6" ht="23.25" x14ac:dyDescent="0.45">
      <c r="A59" s="654" t="str">
        <f>'DGNB matrice'!B61</f>
        <v>ENV1.3</v>
      </c>
      <c r="B59" s="654" t="str">
        <f>'DGNB matrice'!C61</f>
        <v>Miljøvenlig indvinding af materialer</v>
      </c>
      <c r="C59" s="655"/>
      <c r="D59" s="639" t="str">
        <f>IF('Sortering af spørgsmål'!C6="Ikke relevant","-",IF('Sortering af spørgsmål'!C6="Vælg fra rullemenu:","Mangler svar",Arbejdsark!K15))</f>
        <v>Mangler svar</v>
      </c>
      <c r="E59" s="639" t="str">
        <f>IF('Sortering af spørgsmål'!C6="Ikke relevant","-",IF('Sortering af spørgsmål'!C6="Vælg fra rullemenu:","Mangler svar",Arbejdsark!N15))</f>
        <v>Mangler svar</v>
      </c>
      <c r="F59" s="636" t="str">
        <f>IF('Sortering af spørgsmål'!C6=Projektforudsætninger!$C$20,'Dialogpart 1'!K8,IF('Sortering af spørgsmål'!C6=Projektforudsætninger!$C$21,'Dialogpart 2'!K8,IF('Sortering af spørgsmål'!C6=Projektforudsætninger!$C$22,'Dialogpart 3'!K8,IF('Sortering af spørgsmål'!C6=Projektforudsætninger!$C$23,'Dialogpart 4'!K8,IF('Sortering af spørgsmål'!C6=Projektforudsætninger!$C$24,'Dialogpart 5'!K8,IF('Sortering af spørgsmål'!C6=Projektforudsætninger!$C$25,'Dialogpart 6'!K8,IF('Sortering af spørgsmål'!C6=Projektforudsætninger!$C$26,'Dialogpart 7'!K8,"")))))))</f>
        <v/>
      </c>
    </row>
    <row r="60" spans="1:6" x14ac:dyDescent="0.45">
      <c r="A60" s="656"/>
      <c r="B60" s="661" t="str">
        <f>'DGNB matrice'!C62</f>
        <v>1.</v>
      </c>
      <c r="C60" s="661" t="str">
        <f>'DGNB matrice'!D62</f>
        <v>Anvendelse af træ og træmateriale</v>
      </c>
      <c r="D60" s="640"/>
      <c r="E60" s="640"/>
      <c r="F60" s="641"/>
    </row>
    <row r="61" spans="1:6" x14ac:dyDescent="0.45">
      <c r="A61" s="659"/>
      <c r="B61" s="661" t="str">
        <f>'DGNB matrice'!C63</f>
        <v>1.1</v>
      </c>
      <c r="C61" s="661" t="str">
        <f>'DGNB matrice'!D63</f>
        <v>Forskallingstræ</v>
      </c>
      <c r="D61" s="640"/>
      <c r="E61" s="640"/>
      <c r="F61" s="641"/>
    </row>
    <row r="62" spans="1:6" x14ac:dyDescent="0.45">
      <c r="A62" s="660"/>
      <c r="B62" s="661" t="str">
        <f>'DGNB matrice'!C64</f>
        <v>2.</v>
      </c>
      <c r="C62" s="661" t="str">
        <f>'DGNB matrice'!D64</f>
        <v>Anvendelse af natursten</v>
      </c>
      <c r="D62" s="640"/>
      <c r="E62" s="640"/>
      <c r="F62" s="641"/>
    </row>
    <row r="63" spans="1:6" ht="47.25" x14ac:dyDescent="0.45">
      <c r="A63" s="654" t="str">
        <f>'DGNB matrice'!B65</f>
        <v>ENV2.1</v>
      </c>
      <c r="B63" s="654" t="str">
        <f>'DGNB matrice'!C65</f>
        <v>Livscyklusvurdering (LCA) - Primærenergi</v>
      </c>
      <c r="C63" s="664"/>
      <c r="D63" s="640" t="str">
        <f>Projektforudsætninger!A32</f>
        <v>Hvilke krav stiller lokalplanen til bygningernes miljøbelastning (f.eks. energiramme eller frivillig bæredygtighedsklasse)?</v>
      </c>
      <c r="E63" s="640"/>
      <c r="F63" s="641" t="str">
        <f>IF(Projektforudsætninger!C32="Indsæt kort beskrivelse af planrammernes krav.","",Projektforudsætninger!C32)</f>
        <v/>
      </c>
    </row>
    <row r="64" spans="1:6" x14ac:dyDescent="0.45">
      <c r="A64" s="670"/>
      <c r="B64" s="671"/>
      <c r="C64" s="655"/>
      <c r="D64" s="320" t="str">
        <f>IF('Sortering af spørgsmål'!C6="Ikke relevant","-",IF('Sortering af spørgsmål'!C6="Vælg fra rullemenu:","Mangler svar",Arbejdsark!K20))</f>
        <v>Mangler svar</v>
      </c>
      <c r="E64" s="320" t="str">
        <f>IF('Sortering af spørgsmål'!C6="Ikke relevant","-",IF('Sortering af spørgsmål'!C6="Vælg fra rullemenu:","Mangler svar",Arbejdsark!N20))</f>
        <v>Mangler svar</v>
      </c>
      <c r="F64" s="642" t="str">
        <f>IF('Sortering af spørgsmål'!C6=Projektforudsætninger!$C$20,'Dialogpart 1'!K9,IF('Sortering af spørgsmål'!C6=Projektforudsætninger!$C$21,'Dialogpart 2'!K9,IF('Sortering af spørgsmål'!C6=Projektforudsætninger!$C$22,'Dialogpart 3'!K9,IF('Sortering af spørgsmål'!C6=Projektforudsætninger!$C$23,'Dialogpart 4'!K9,IF('Sortering af spørgsmål'!C6=Projektforudsætninger!$C$24,'Dialogpart 5'!K9,IF('Sortering af spørgsmål'!C6=Projektforudsætninger!$C$25,'Dialogpart 6'!K9,IF('Sortering af spørgsmål'!C6=Projektforudsætninger!$C$26,'Dialogpart 7'!K9,"")))))))</f>
        <v/>
      </c>
    </row>
    <row r="65" spans="1:6" ht="23.25" x14ac:dyDescent="0.45">
      <c r="A65" s="656"/>
      <c r="B65" s="668" t="str">
        <f>'DGNB matrice'!C66</f>
        <v>1.</v>
      </c>
      <c r="C65" s="668" t="str">
        <f>'DGNB matrice'!D66</f>
        <v>Forbrug af ikke-vedvarende primærenergi (PEnr)</v>
      </c>
      <c r="D65" s="640"/>
      <c r="E65" s="640"/>
      <c r="F65" s="641"/>
    </row>
    <row r="66" spans="1:6" x14ac:dyDescent="0.45">
      <c r="A66" s="659"/>
      <c r="B66" s="668" t="str">
        <f>'DGNB matrice'!C67</f>
        <v>2.</v>
      </c>
      <c r="C66" s="668" t="str">
        <f>'DGNB matrice'!D67</f>
        <v>Samlet forbrug af primærenergi (Petot)</v>
      </c>
      <c r="D66" s="320" t="str">
        <f>IF('Sortering af spørgsmål'!C7="Ikke relevant","-",IF('Sortering af spørgsmål'!C7="Vælg fra rullemenu:","Mangler svar",Arbejdsark!K30))</f>
        <v>Mangler svar</v>
      </c>
      <c r="E66" s="320" t="str">
        <f>IF('Sortering af spørgsmål'!C7="Ikke relevant","-",IF('Sortering af spørgsmål'!C7="Vælg fra rullemenu:","Mangler svar",Arbejdsark!N30))</f>
        <v>Mangler svar</v>
      </c>
      <c r="F66" s="636" t="str">
        <f>IF('Sortering af spørgsmål'!C7=Projektforudsætninger!$C$20,'Dialogpart 1'!K13,IF('Sortering af spørgsmål'!C7=Projektforudsætninger!$C$21,'Dialogpart 2'!K13,IF('Sortering af spørgsmål'!C7=Projektforudsætninger!$C$22,'Dialogpart 3'!K13,IF('Sortering af spørgsmål'!C7=Projektforudsætninger!$C$23,'Dialogpart 4'!K13,IF('Sortering af spørgsmål'!C7=Projektforudsætninger!$C$24,'Dialogpart 5'!K13,IF('Sortering af spørgsmål'!C7=Projektforudsætninger!$C$25,'Dialogpart 6'!K13,IF('Sortering af spørgsmål'!C7=Projektforudsætninger!$C$26,'Dialogpart 7'!K13,"")))))))</f>
        <v/>
      </c>
    </row>
    <row r="67" spans="1:6" x14ac:dyDescent="0.45">
      <c r="A67" s="660"/>
      <c r="B67" s="668" t="str">
        <f>'DGNB matrice'!C68</f>
        <v>3.</v>
      </c>
      <c r="C67" s="668" t="str">
        <f>'DGNB matrice'!D68</f>
        <v>Andel af vedvarende primærenergi</v>
      </c>
      <c r="D67" s="640" t="str">
        <f>IF('Sortering af spørgsmål'!C7="Ikke relevant","-",IF('Sortering af spørgsmål'!C7="Vælg fra rullemenu:","Mangler svar",Arbejdsark!K25))</f>
        <v>Mangler svar</v>
      </c>
      <c r="E67" s="635" t="str">
        <f>IF('Sortering af spørgsmål'!C7="Ikke relevant","-",IF('Sortering af spørgsmål'!C7="Vælg fra rullemenu:","Mangler svar",Arbejdsark!N25))</f>
        <v>Mangler svar</v>
      </c>
      <c r="F67" s="636" t="str">
        <f>IF('Sortering af spørgsmål'!C7=Projektforudsætninger!$C$20,'Dialogpart 1'!K12,IF('Sortering af spørgsmål'!C7=Projektforudsætninger!$C$21,'Dialogpart 2'!K12,IF('Sortering af spørgsmål'!C7=Projektforudsætninger!$C$22,'Dialogpart 3'!K12,IF('Sortering af spørgsmål'!C7=Projektforudsætninger!$C$23,'Dialogpart 4'!K12,IF('Sortering af spørgsmål'!C7=Projektforudsætninger!$C$24,'Dialogpart 5'!K12,IF('Sortering af spørgsmål'!C7=Projektforudsætninger!$C$25,'Dialogpart 6'!K12,IF('Sortering af spørgsmål'!C7=Projektforudsætninger!$C$26,'Dialogpart 7'!K12,"")))))))</f>
        <v/>
      </c>
    </row>
    <row r="68" spans="1:6" ht="23.25" x14ac:dyDescent="0.45">
      <c r="A68" s="654" t="str">
        <f>'DGNB matrice'!B69</f>
        <v>ENV2.2</v>
      </c>
      <c r="B68" s="654" t="str">
        <f>'DGNB matrice'!C69</f>
        <v>Drikkevandsforbrug og spildevandsudledning</v>
      </c>
      <c r="C68" s="665"/>
      <c r="D68" s="635" t="str">
        <f>Projektforudsætninger!A33</f>
        <v>Stiller Kommunen krav til lokal håndtering af regnvand?</v>
      </c>
      <c r="E68" s="635" t="str">
        <f>IF(Projektforudsætninger!C33="Vælg fra rullemenu","",Projektforudsætninger!C33)</f>
        <v/>
      </c>
      <c r="F68" s="636" t="str">
        <f>IF(Projektforudsætninger!D33="Hvis 'Ja', beskriv krav.","",Projektforudsætninger!D33)</f>
        <v/>
      </c>
    </row>
    <row r="69" spans="1:6" ht="58.15" x14ac:dyDescent="0.45">
      <c r="A69" s="670"/>
      <c r="B69" s="671"/>
      <c r="C69" s="665"/>
      <c r="D69" s="635" t="str">
        <f>Projektforudsætninger!A34</f>
        <v>Hvor stor en andel af nedbøren på grunden skal nedsives eller forsinkes lokalt på grunden? Og tillader grundvandsforholdene på grunden dette?</v>
      </c>
      <c r="E69" s="635"/>
      <c r="F69" s="636" t="str">
        <f>IF(Projektforudsætninger!C34="Beskriv, hvilke krav Kommunen stiller til håndtering af regnvand og grundvandsforholdene.","",Projektforudsætninger!C34)</f>
        <v/>
      </c>
    </row>
    <row r="70" spans="1:6" x14ac:dyDescent="0.45">
      <c r="A70" s="670"/>
      <c r="B70" s="671"/>
      <c r="C70" s="655"/>
      <c r="D70" s="640" t="str">
        <f>IF('Sortering af spørgsmål'!C8="Ikke relevant","-",IF('Sortering af spørgsmål'!C8="Vælg fra rullemenu:","Mangler svar",Arbejdsark!K35))</f>
        <v>Mangler svar</v>
      </c>
      <c r="E70" s="635" t="str">
        <f>IF('Sortering af spørgsmål'!C8="Ikke relevant","-",IF('Sortering af spørgsmål'!C8="Vælg fra rullemenu:","Mangler svar",Arbejdsark!N35))</f>
        <v>Mangler svar</v>
      </c>
      <c r="F70" s="639" t="str">
        <f>IF('Sortering af spørgsmål'!C8=Projektforudsætninger!$C$20,'Dialogpart 1'!K16,IF('Sortering af spørgsmål'!C8=Projektforudsætninger!$C$21,'Dialogpart 2'!K16,IF('Sortering af spørgsmål'!C8=Projektforudsætninger!$C$22,'Dialogpart 3'!K16,IF('Sortering af spørgsmål'!C8=Projektforudsætninger!$C$23,'Dialogpart 4'!K16,IF('Sortering af spørgsmål'!C8=Projektforudsætninger!$C$24,'Dialogpart 5'!K16,IF('Sortering af spørgsmål'!C8=Projektforudsætninger!$C$25,'Dialogpart 6'!K16,IF('Sortering af spørgsmål'!C8=Projektforudsætninger!$C$26,'Dialogpart 7'!K16,"")))))))</f>
        <v/>
      </c>
    </row>
    <row r="71" spans="1:6" x14ac:dyDescent="0.45">
      <c r="A71" s="670"/>
      <c r="B71" s="671"/>
      <c r="C71" s="665"/>
      <c r="D71" s="635" t="str">
        <f>IF('Sortering af spørgsmål'!C8="Ikke relevant","-",IF('Sortering af spørgsmål'!C8="Vælg fra rullemenu:","Mangler svar",Arbejdsark!K40))</f>
        <v>Mangler svar</v>
      </c>
      <c r="E71" s="635" t="str">
        <f>IF('Sortering af spørgsmål'!C8="Ikke relevant","-",IF('Sortering af spørgsmål'!C8="Vælg fra rullemenu:","Mangler svar",Arbejdsark!N40))</f>
        <v>Mangler svar</v>
      </c>
      <c r="F71" s="639" t="str">
        <f>IF('Sortering af spørgsmål'!C8=Projektforudsætninger!$C$20,'Dialogpart 1'!K17,IF('Sortering af spørgsmål'!C8=Projektforudsætninger!$C$21,'Dialogpart 2'!K17,IF('Sortering af spørgsmål'!C8=Projektforudsætninger!$C$22,'Dialogpart 3'!K17,IF('Sortering af spørgsmål'!C8=Projektforudsætninger!$C$23,'Dialogpart 4'!K17,IF('Sortering af spørgsmål'!C8=Projektforudsætninger!$C$24,'Dialogpart 5'!K17,IF('Sortering af spørgsmål'!C8=Projektforudsætninger!$C$25,'Dialogpart 6'!K17,IF('Sortering af spørgsmål'!C8=Projektforudsætninger!$C$26,'Dialogpart 7'!K17,"")))))))</f>
        <v/>
      </c>
    </row>
    <row r="72" spans="1:6" x14ac:dyDescent="0.45">
      <c r="A72" s="670"/>
      <c r="B72" s="671"/>
      <c r="C72" s="665"/>
      <c r="D72" s="635" t="str">
        <f>IF('Sortering af spørgsmål'!C8="Ikke relevant","-",IF('Sortering af spørgsmål'!C8="Vælg fra rullemenu:","Mangler svar",Arbejdsark!K45))</f>
        <v>Mangler svar</v>
      </c>
      <c r="E72" s="635" t="str">
        <f>IF('Sortering af spørgsmål'!C8="Ikke relevant","-",IF('Sortering af spørgsmål'!C8="Vælg fra rullemenu:","Mangler svar",Arbejdsark!N45))</f>
        <v>Mangler svar</v>
      </c>
      <c r="F72" s="639" t="str">
        <f>IF('Sortering af spørgsmål'!C8=Projektforudsætninger!$C$20,'Dialogpart 1'!K18,IF('Sortering af spørgsmål'!C8=Projektforudsætninger!$C$21,'Dialogpart 2'!K18,IF('Sortering af spørgsmål'!C8=Projektforudsætninger!$C$22,'Dialogpart 3'!K18,IF('Sortering af spørgsmål'!C8=Projektforudsætninger!$C$23,'Dialogpart 4'!K18,IF('Sortering af spørgsmål'!C8=Projektforudsætninger!$C$24,'Dialogpart 5'!K18,IF('Sortering af spørgsmål'!C8=Projektforudsætninger!$C$25,'Dialogpart 6'!K18,IF('Sortering af spørgsmål'!C8=Projektforudsætninger!$C$26,'Dialogpart 7'!K18,"")))))))</f>
        <v/>
      </c>
    </row>
    <row r="73" spans="1:6" ht="23.25" x14ac:dyDescent="0.45">
      <c r="A73" s="654" t="str">
        <f>'DGNB matrice'!B70</f>
        <v>ENV2.3</v>
      </c>
      <c r="B73" s="654" t="str">
        <f>'DGNB matrice'!C70</f>
        <v>Effektiv arealanvendelse</v>
      </c>
      <c r="C73" s="665"/>
      <c r="D73" s="635" t="str">
        <f>Projektforudsætninger!A35</f>
        <v>Er der registreret forurening på grunden?</v>
      </c>
      <c r="E73" s="635" t="str">
        <f>IF(Projektforudsætninger!C35="Vælg fra rullemenu","",Projektforudsætninger!C35)</f>
        <v/>
      </c>
      <c r="F73" s="636" t="str">
        <f>IF(Projektforudsætninger!D35="","",Projektforudsætninger!D35)</f>
        <v/>
      </c>
    </row>
    <row r="74" spans="1:6" ht="23.25" x14ac:dyDescent="0.45">
      <c r="A74" s="670"/>
      <c r="B74" s="671"/>
      <c r="C74" s="665"/>
      <c r="D74" s="635" t="str">
        <f>Projektforudsætninger!A36</f>
        <v>Hvad er omfanget af forureningen?</v>
      </c>
      <c r="E74" s="635"/>
      <c r="F74" s="636" t="str">
        <f>IF(Projektforudsætninger!C36="Beskriv kort tilgængelig viden og henvis evt. til relevante dokumenter.","",Projektforudsætninger!C36)</f>
        <v/>
      </c>
    </row>
    <row r="75" spans="1:6" ht="23.25" x14ac:dyDescent="0.45">
      <c r="A75" s="670"/>
      <c r="B75" s="671"/>
      <c r="C75" s="665"/>
      <c r="D75" s="635" t="str">
        <f>Projektforudsætninger!A37</f>
        <v>Hvad er den tilladte bebyggelsesprocent på grunden?</v>
      </c>
      <c r="E75" s="635" t="str">
        <f>IF(Projektforudsætninger!C37="Vælg fra rullemenu","",Projektforudsætninger!C37)</f>
        <v/>
      </c>
      <c r="F75" s="636" t="str">
        <f>IF(Projektforudsætninger!D37="","",Projektforudsætninger!D37)</f>
        <v/>
      </c>
    </row>
    <row r="76" spans="1:6" ht="23.25" x14ac:dyDescent="0.45">
      <c r="A76" s="656"/>
      <c r="B76" s="672" t="str">
        <f>'DGNB matrice'!C71</f>
        <v>1.1</v>
      </c>
      <c r="C76" s="672" t="str">
        <f>'DGNB matrice'!D71</f>
        <v>Anvendelse af "genbrugsarealer" vs. anvendelse af ubebyggede arealer</v>
      </c>
      <c r="D76" s="635" t="str">
        <f>IF('Sortering af spørgsmål'!C11="Ikke relevant","-",IF('Sortering af spørgsmål'!C11="Vælg fra rullemenu:","Mangler svar",Arbejdsark!K84))</f>
        <v>Mangler svar</v>
      </c>
      <c r="E76" s="635" t="str">
        <f>IF('Sortering af spørgsmål'!C11="Ikke relevant","-",IF('Sortering af spørgsmål'!C11="Vælg fra rullemenu:","Mangler svar",Arbejdsark!N84))</f>
        <v>Mangler svar</v>
      </c>
      <c r="F76" s="642" t="str">
        <f>IF('Sortering af spørgsmål'!C11=Projektforudsætninger!$C$20,'Dialogpart 1'!K31,IF('Sortering af spørgsmål'!C11=Projektforudsætninger!$C$21,'Dialogpart 2'!K31,IF('Sortering af spørgsmål'!C11=Projektforudsætninger!$C$22,'Dialogpart 3'!K31,IF('Sortering af spørgsmål'!C11=Projektforudsætninger!$C$23,'Dialogpart 4'!K31,IF('Sortering af spørgsmål'!C11=Projektforudsætninger!$C$24,'Dialogpart 5'!K31,IF('Sortering af spørgsmål'!C11=Projektforudsætninger!$C$25,'Dialogpart 6'!K31,IF('Sortering af spørgsmål'!C11=Projektforudsætninger!$C$26,'Dialogpart 7'!K31,"")))))))</f>
        <v/>
      </c>
    </row>
    <row r="77" spans="1:6" x14ac:dyDescent="0.45">
      <c r="A77" s="659"/>
      <c r="B77" s="672" t="str">
        <f>'DGNB matrice'!C72</f>
        <v>1.2</v>
      </c>
      <c r="C77" s="672" t="str">
        <f>'DGNB matrice'!D72</f>
        <v>Bebyggelsestæthed</v>
      </c>
      <c r="D77" s="635" t="str">
        <f>IF('Sortering af spørgsmål'!C10="Ikke relevant","-",IF('Sortering af spørgsmål'!C10="Vælg fra rullemenu:","Mangler svar",Arbejdsark!K73))</f>
        <v>Mangler svar</v>
      </c>
      <c r="E77" s="635" t="str">
        <f>IF('Sortering af spørgsmål'!C10="Ikke relevant","-",IF('Sortering af spørgsmål'!C10="Vælg fra rullemenu:","Mangler svar",Arbejdsark!N73))</f>
        <v>Mangler svar</v>
      </c>
      <c r="F77" s="639" t="str">
        <f>IF('Sortering af spørgsmål'!C10=Projektforudsætninger!$C$20,'Dialogpart 1'!K27,IF('Sortering af spørgsmål'!C10=Projektforudsætninger!$C$21,'Dialogpart 2'!K27,IF('Sortering af spørgsmål'!C10=Projektforudsætninger!$C$22,'Dialogpart 3'!K27,IF('Sortering af spørgsmål'!C10=Projektforudsætninger!$C$23,'Dialogpart 4'!K27,IF('Sortering af spørgsmål'!C10=Projektforudsætninger!$C$24,'Dialogpart 5'!K27,IF('Sortering af spørgsmål'!C10=Projektforudsætninger!$C$25,'Dialogpart 6'!K27,IF('Sortering af spørgsmål'!C10=Projektforudsætninger!$C$26,'Dialogpart 7'!K27,"")))))))</f>
        <v/>
      </c>
    </row>
    <row r="78" spans="1:6" x14ac:dyDescent="0.45">
      <c r="A78" s="659"/>
      <c r="B78" s="672" t="str">
        <f>'DGNB matrice'!C73</f>
        <v>2.1</v>
      </c>
      <c r="C78" s="672" t="str">
        <f>'DGNB matrice'!D73</f>
        <v>Graden af jordforurening</v>
      </c>
      <c r="D78" s="635" t="str">
        <f>IF('Sortering af spørgsmål'!C11="Ikke relevant","-",IF('Sortering af spørgsmål'!C11="Vælg fra rullemenu:","Mangler svar",Arbejdsark!K78))</f>
        <v>Mangler svar</v>
      </c>
      <c r="E78" s="635" t="str">
        <f>IF('Sortering af spørgsmål'!C11="Ikke relevant","-",IF('Sortering af spørgsmål'!C11="Vælg fra rullemenu:","Mangler svar",Arbejdsark!N78))</f>
        <v>Mangler svar</v>
      </c>
      <c r="F78" s="639" t="str">
        <f>IF('Sortering af spørgsmål'!C11=Projektforudsætninger!$C$20,'Dialogpart 1'!K30,IF('Sortering af spørgsmål'!C11=Projektforudsætninger!$C$21,'Dialogpart 2'!K30,IF('Sortering af spørgsmål'!C11=Projektforudsætninger!$C$22,'Dialogpart 3'!K30,IF('Sortering af spørgsmål'!C11=Projektforudsætninger!$C$23,'Dialogpart 4'!K30,IF('Sortering af spørgsmål'!C11=Projektforudsætninger!$C$24,'Dialogpart 5'!K30,IF('Sortering af spørgsmål'!C11=Projektforudsætninger!$C$25,'Dialogpart 6'!K30,IF('Sortering af spørgsmål'!C11=Projektforudsætninger!$C$26,'Dialogpart 7'!K30,"")))))))</f>
        <v/>
      </c>
    </row>
    <row r="79" spans="1:6" x14ac:dyDescent="0.45">
      <c r="A79" s="659"/>
      <c r="B79" s="672" t="str">
        <f>'DGNB matrice'!C74</f>
        <v>2.2</v>
      </c>
      <c r="C79" s="672" t="str">
        <f>'DGNB matrice'!D74</f>
        <v>Natur- og miljøforhold ved rensning</v>
      </c>
      <c r="D79" s="640" t="str">
        <f>IF('Sortering af spørgsmål'!C11="Ikke relevant","-",IF('Sortering af spørgsmål'!C11="Vælg fra rullemenu:","Mangler svar",Arbejdsark!K78))</f>
        <v>Mangler svar</v>
      </c>
      <c r="E79" s="640" t="str">
        <f>IF('Sortering af spørgsmål'!C11="Ikke relevant","-",IF('Sortering af spørgsmål'!C11="Vælg fra rullemenu:","Mangler svar",Arbejdsark!N78))</f>
        <v>Mangler svar</v>
      </c>
      <c r="F79" s="641" t="str">
        <f>IF(F78="","","Se kommentar under 'Graden af jordforurening'")</f>
        <v/>
      </c>
    </row>
    <row r="80" spans="1:6" x14ac:dyDescent="0.45">
      <c r="A80" s="660"/>
      <c r="B80" s="672" t="str">
        <f>'DGNB matrice'!C75</f>
        <v>2.3</v>
      </c>
      <c r="C80" s="672" t="str">
        <f>'DGNB matrice'!D75</f>
        <v>Grundens biofaktor</v>
      </c>
      <c r="D80" s="635" t="str">
        <f>IF('Sortering af spørgsmål'!C9="Ikke relevant","-",IF('Sortering af spørgsmål'!C9="Vælg fra rullemenu:","Mangler svar",Arbejdsark!K51))</f>
        <v>Mangler svar</v>
      </c>
      <c r="E80" s="635" t="str">
        <f>IF('Sortering af spørgsmål'!C9="Ikke relevant","-",IF('Sortering af spørgsmål'!C9="Vælg fra rullemenu:","Mangler svar",Arbejdsark!N51))</f>
        <v>Mangler svar</v>
      </c>
      <c r="F80" s="639" t="str">
        <f>IF('Sortering af spørgsmål'!C9=Projektforudsætninger!$C$20,'Dialogpart 1'!K21,IF('Sortering af spørgsmål'!C9=Projektforudsætninger!$C$21,'Dialogpart 2'!K21,IF('Sortering af spørgsmål'!C9=Projektforudsætninger!$C$22,'Dialogpart 3'!K21,IF('Sortering af spørgsmål'!C9=Projektforudsætninger!$C$23,'Dialogpart 4'!K21,IF('Sortering af spørgsmål'!C9=Projektforudsætninger!$C$24,'Dialogpart 5'!K21,IF('Sortering af spørgsmål'!C9=Projektforudsætninger!$C$25,'Dialogpart 6'!K21,IF('Sortering af spørgsmål'!C9=Projektforudsætninger!$C$26,'Dialogpart 7'!K21,"")))))))</f>
        <v/>
      </c>
    </row>
    <row r="81" spans="1:6" x14ac:dyDescent="0.45">
      <c r="A81" s="662"/>
      <c r="B81" s="672" t="str">
        <f>'DGNB matrice'!C76</f>
        <v>2.4</v>
      </c>
      <c r="C81" s="672" t="str">
        <f>'DGNB matrice'!D76</f>
        <v>Bevaring af træer</v>
      </c>
      <c r="D81" s="635"/>
      <c r="E81" s="635"/>
      <c r="F81" s="636"/>
    </row>
    <row r="82" spans="1:6" x14ac:dyDescent="0.45">
      <c r="A82" s="662"/>
      <c r="B82" s="672" t="str">
        <f>'DGNB matrice'!C77</f>
        <v>3.</v>
      </c>
      <c r="C82" s="672" t="str">
        <f>'DGNB matrice'!D77</f>
        <v>Jordbalance og jordhåndtering</v>
      </c>
      <c r="D82" s="635" t="str">
        <f>IF('Sortering af spørgsmål'!C11="Ikke relevant","-",IF('Sortering af spørgsmål'!C11="Vælg fra rullemenu:","Mangler svar",Arbejdsark!K78))</f>
        <v>Mangler svar</v>
      </c>
      <c r="E82" s="635" t="str">
        <f>IF('Sortering af spørgsmål'!C11="Ikke relevant","-",IF('Sortering af spørgsmål'!C11="Vælg fra rullemenu:","Mangler svar",Arbejdsark!N78))</f>
        <v>Mangler svar</v>
      </c>
      <c r="F82" s="636"/>
    </row>
    <row r="83" spans="1:6" ht="23.25" x14ac:dyDescent="0.45">
      <c r="A83" s="654" t="str">
        <f>'DGNB matrice'!B78</f>
        <v>ECO1.1</v>
      </c>
      <c r="B83" s="654" t="str">
        <f>'DGNB matrice'!C78</f>
        <v>Bygningsrelaterede levetidsomkostninger</v>
      </c>
      <c r="C83" s="655"/>
      <c r="D83" s="635" t="str">
        <f>IF('Sortering af spørgsmål'!C12="Ikke relevant","-",IF('Sortering af spørgsmål'!C12="Vælg fra rullemenu:","Mangler svar",Arbejdsark!K96))</f>
        <v>Mangler svar</v>
      </c>
      <c r="E83" s="635" t="str">
        <f>IF('Sortering af spørgsmål'!C12="Ikke relevant","-",IF('Sortering af spørgsmål'!C12="Vælg fra rullemenu:","Mangler svar",Arbejdsark!N96))</f>
        <v>Mangler svar</v>
      </c>
      <c r="F83" s="639" t="str">
        <f>IF(Projektforudsætninger!D38="","",Projektforudsætninger!D38)</f>
        <v/>
      </c>
    </row>
    <row r="84" spans="1:6" x14ac:dyDescent="0.45">
      <c r="A84" s="662"/>
      <c r="B84" s="671"/>
      <c r="C84" s="665"/>
      <c r="D84" s="635" t="str">
        <f>IF('Sortering af spørgsmål'!C12="Ikke relevant","-",IF('Sortering af spørgsmål'!C12="Vælg fra rullemenu:","Mangler svar",Arbejdsark!K109))</f>
        <v>Mangler svar</v>
      </c>
      <c r="E84" s="635" t="str">
        <f>IF('Sortering af spørgsmål'!C12="Ikke relevant","-",IF('Sortering af spørgsmål'!C12="Vælg fra rullemenu:","Mangler svar",Arbejdsark!N109))</f>
        <v>Mangler svar</v>
      </c>
      <c r="F84" s="639" t="str">
        <f>IF('Sortering af spørgsmål'!C12=Projektforudsætninger!$C$20,'Dialogpart 1'!K37,IF('Sortering af spørgsmål'!C12=Projektforudsætninger!$C$21,'Dialogpart 2'!K37,IF('Sortering af spørgsmål'!C12=Projektforudsætninger!$C$22,'Dialogpart 3'!K37,IF('Sortering af spørgsmål'!C12=Projektforudsætninger!$C$23,'Dialogpart 4'!K37,IF('Sortering af spørgsmål'!C12=Projektforudsætninger!$C$24,'Dialogpart 5'!K37,IF('Sortering af spørgsmål'!C12=Projektforudsætninger!$C$25,'Dialogpart 6'!K37,IF('Sortering af spørgsmål'!C12=Projektforudsætninger!$C$26,'Dialogpart 7'!K37,"")))))))</f>
        <v/>
      </c>
    </row>
    <row r="85" spans="1:6" ht="34.9" x14ac:dyDescent="0.45">
      <c r="A85" s="654" t="str">
        <f>'DGNB matrice'!B79</f>
        <v>ECO2.1</v>
      </c>
      <c r="B85" s="654" t="str">
        <f>'DGNB matrice'!C79</f>
        <v>Fleksibilitet og omstillingsevne</v>
      </c>
      <c r="C85" s="655"/>
      <c r="D85" s="635" t="str">
        <f>Projektforudsætninger!A39</f>
        <v xml:space="preserve">Hvilket krav stilles til den fri rumhøjde fra oversiden af gulvet til undersiden af loftet? </v>
      </c>
      <c r="E85" s="635"/>
      <c r="F85" s="642" t="str">
        <f>IF(Projektforudsætninger!C39="Angiv minimum rumhøjde i meter.","",Projektforudsætninger!C39)</f>
        <v/>
      </c>
    </row>
    <row r="86" spans="1:6" x14ac:dyDescent="0.45">
      <c r="A86" s="656"/>
      <c r="B86" s="661" t="str">
        <f>'DGNB matrice'!C80</f>
        <v>1.</v>
      </c>
      <c r="C86" s="661" t="str">
        <f>'DGNB matrice'!D80</f>
        <v>Arealudnyttelse</v>
      </c>
      <c r="D86" s="635" t="str">
        <f>IF('Sortering af spørgsmål'!C13="Ikke relevant","-",IF('Sortering af spørgsmål'!C13="Vælg fra rullemenu:","Mangler svar",Arbejdsark!K124))</f>
        <v>Mangler svar</v>
      </c>
      <c r="E86" s="635" t="str">
        <f>IF('Sortering af spørgsmål'!C13="Ikke relevant","-",IF('Sortering af spørgsmål'!C13="Vælg fra rullemenu:","Mangler svar",Arbejdsark!N124))</f>
        <v>Mangler svar</v>
      </c>
      <c r="F86" s="642" t="str">
        <f>IF('Sortering af spørgsmål'!C13=Projektforudsætninger!$C$20,'Dialogpart 1'!K42,IF('Sortering af spørgsmål'!C13=Projektforudsætninger!$C$21,'Dialogpart 2'!K42,IF('Sortering af spørgsmål'!C13=Projektforudsætninger!$C$22,'Dialogpart 3'!K42,IF('Sortering af spørgsmål'!C13=Projektforudsætninger!$C$23,'Dialogpart 4'!K42,IF('Sortering af spørgsmål'!C13=Projektforudsætninger!$C$24,'Dialogpart 5'!K42,IF('Sortering af spørgsmål'!C13=Projektforudsætninger!$C$25,'Dialogpart 6'!K42,IF('Sortering af spørgsmål'!C13=Projektforudsætninger!$C$26,'Dialogpart 7'!K42,"")))))))</f>
        <v/>
      </c>
    </row>
    <row r="87" spans="1:6" x14ac:dyDescent="0.45">
      <c r="A87" s="659"/>
      <c r="B87" s="661" t="str">
        <f>'DGNB matrice'!C81</f>
        <v>2.</v>
      </c>
      <c r="C87" s="661" t="str">
        <f>'DGNB matrice'!D81</f>
        <v>Fri rumhøjde</v>
      </c>
      <c r="D87" s="635" t="str">
        <f>IF('Sortering af spørgsmål'!C13="Ikke relevant","-",IF('Sortering af spørgsmål'!C13="Vælg fra rullemenu:","Mangler svar",Arbejdsark!K114))</f>
        <v>Mangler svar</v>
      </c>
      <c r="E87" s="635" t="str">
        <f>IF('Sortering af spørgsmål'!C13="Ikke relevant","-",IF('Sortering af spørgsmål'!C13="Vælg fra rullemenu:","Mangler svar",Arbejdsark!N114))</f>
        <v>Mangler svar</v>
      </c>
      <c r="F87" s="639" t="str">
        <f>IF('Sortering af spørgsmål'!C13=Projektforudsætninger!$C$20,'Dialogpart 1'!K40,IF('Sortering af spørgsmål'!C13=Projektforudsætninger!$C$21,'Dialogpart 2'!K40,IF('Sortering af spørgsmål'!C13=Projektforudsætninger!$C$22,'Dialogpart 3'!K40,IF('Sortering af spørgsmål'!C13=Projektforudsætninger!$C$23,'Dialogpart 4'!K40,IF('Sortering af spørgsmål'!C13=Projektforudsætninger!$C$24,'Dialogpart 5'!K40,IF('Sortering af spørgsmål'!C13=Projektforudsætninger!$C$25,'Dialogpart 6'!K40,IF('Sortering af spørgsmål'!C13=Projektforudsætninger!$C$26,'Dialogpart 7'!K40,"")))))))</f>
        <v/>
      </c>
    </row>
    <row r="88" spans="1:6" x14ac:dyDescent="0.45">
      <c r="A88" s="659"/>
      <c r="B88" s="661" t="str">
        <f>'DGNB matrice'!C82</f>
        <v>3.</v>
      </c>
      <c r="C88" s="661" t="str">
        <f>'DGNB matrice'!D82</f>
        <v>Bygningsdybde</v>
      </c>
      <c r="D88" s="635" t="str">
        <f>IF('Sortering af spørgsmål'!C13="Ikke relevant","-",IF('Sortering af spørgsmål'!C13="Vælg fra rullemenu:","Mangler svar",Arbejdsark!K119))</f>
        <v>Mangler svar</v>
      </c>
      <c r="E88" s="635" t="str">
        <f>IF('Sortering af spørgsmål'!C13="Ikke relevant","-",IF('Sortering af spørgsmål'!C13="Vælg fra rullemenu:","Mangler svar",Arbejdsark!N119))</f>
        <v>Mangler svar</v>
      </c>
      <c r="F88" s="639" t="str">
        <f>IF('Sortering af spørgsmål'!C13=Projektforudsætninger!$C$20,'Dialogpart 1'!K41,IF('Sortering af spørgsmål'!C13=Projektforudsætninger!$C$21,'Dialogpart 2'!K41,IF('Sortering af spørgsmål'!C13=Projektforudsætninger!$C$22,'Dialogpart 3'!K41,IF('Sortering af spørgsmål'!C13=Projektforudsætninger!$C$23,'Dialogpart 4'!K41,IF('Sortering af spørgsmål'!C13=Projektforudsætninger!$C$24,'Dialogpart 5'!K41,IF('Sortering af spørgsmål'!C13=Projektforudsætninger!$C$25,'Dialogpart 6'!K41,IF('Sortering af spørgsmål'!C13=Projektforudsætninger!$C$26,'Dialogpart 7'!K41,"")))))))</f>
        <v/>
      </c>
    </row>
    <row r="89" spans="1:6" x14ac:dyDescent="0.45">
      <c r="A89" s="659"/>
      <c r="B89" s="661" t="str">
        <f>'DGNB matrice'!C83</f>
        <v>5.</v>
      </c>
      <c r="C89" s="661" t="str">
        <f>'DGNB matrice'!D83</f>
        <v>Fleksible planløsninger</v>
      </c>
      <c r="D89" s="635" t="str">
        <f>IF('Sortering af spørgsmål'!C13="Ikke relevant","-",IF('Sortering af spørgsmål'!C13="Vælg fra rullemenu:","Mangler svar",Arbejdsark!K129))</f>
        <v>Mangler svar</v>
      </c>
      <c r="E89" s="635" t="str">
        <f>IF('Sortering af spørgsmål'!C13="Ikke relevant","-",IF('Sortering af spørgsmål'!C13="Vælg fra rullemenu:","Mangler svar",Arbejdsark!N129))</f>
        <v>Mangler svar</v>
      </c>
      <c r="F89" s="639" t="str">
        <f>IF('Sortering af spørgsmål'!C13=Projektforudsætninger!$C$20,'Dialogpart 1'!K43,IF('Sortering af spørgsmål'!C13=Projektforudsætninger!$C$21,'Dialogpart 2'!K43,IF('Sortering af spørgsmål'!C13=Projektforudsætninger!$C$22,'Dialogpart 3'!K43,IF('Sortering af spørgsmål'!C13=Projektforudsætninger!$C$23,'Dialogpart 4'!K43,IF('Sortering af spørgsmål'!C13=Projektforudsætninger!$C$24,'Dialogpart 5'!K43,IF('Sortering af spørgsmål'!C13=Projektforudsætninger!$C$25,'Dialogpart 6'!K43,IF('Sortering af spørgsmål'!C13=Projektforudsætninger!$C$26,'Dialogpart 7'!K43,"")))))))</f>
        <v/>
      </c>
    </row>
    <row r="90" spans="1:6" x14ac:dyDescent="0.45">
      <c r="A90" s="659"/>
      <c r="B90" s="661" t="str">
        <f>'DGNB matrice'!C84</f>
        <v>6.</v>
      </c>
      <c r="C90" s="661" t="str">
        <f>'DGNB matrice'!D84</f>
        <v>Råhuset udformning og fleksibilitet</v>
      </c>
      <c r="D90" s="635" t="str">
        <f>IF('Sortering af spørgsmål'!C13="Ikke relevant","-",IF('Sortering af spørgsmål'!C13="Vælg fra rullemenu:","Mangler svar",Arbejdsark!K134))</f>
        <v>Mangler svar</v>
      </c>
      <c r="E90" s="635" t="str">
        <f>IF('Sortering af spørgsmål'!C13="Ikke relevant","-",IF('Sortering af spørgsmål'!C13="Vælg fra rullemenu:","Mangler svar",Arbejdsark!N134))</f>
        <v>Mangler svar</v>
      </c>
      <c r="F90" s="639" t="str">
        <f>IF('Sortering af spørgsmål'!C13=Projektforudsætninger!$C$20,'Dialogpart 1'!K44,IF('Sortering af spørgsmål'!C13=Projektforudsætninger!$C$21,'Dialogpart 2'!K44,IF('Sortering af spørgsmål'!C13=Projektforudsætninger!$C$22,'Dialogpart 3'!K44,IF('Sortering af spørgsmål'!C13=Projektforudsætninger!$C$23,'Dialogpart 4'!K44,IF('Sortering af spørgsmål'!C13=Projektforudsætninger!$C$24,'Dialogpart 5'!K44,IF('Sortering af spørgsmål'!C13=Projektforudsætninger!$C$25,'Dialogpart 6'!K44,IF('Sortering af spørgsmål'!C13=Projektforudsætninger!$C$26,'Dialogpart 7'!K44,"")))))))</f>
        <v/>
      </c>
    </row>
    <row r="91" spans="1:6" x14ac:dyDescent="0.45">
      <c r="A91" s="662"/>
      <c r="B91" s="671"/>
      <c r="C91" s="665"/>
      <c r="D91" s="635" t="str">
        <f>IF('Sortering af spørgsmål'!C13="Ikke relevant","-",IF('Sortering af spørgsmål'!C13="Vælg fra rullemenu:","Mangler svar",Arbejdsark!K149))</f>
        <v>Mangler svar</v>
      </c>
      <c r="E91" s="635" t="str">
        <f>IF('Sortering af spørgsmål'!C13="Ikke relevant","-",IF('Sortering af spørgsmål'!C13="Vælg fra rullemenu:","Mangler svar",Arbejdsark!N149))</f>
        <v>Mangler svar</v>
      </c>
      <c r="F91" s="639" t="str">
        <f>IF('Sortering af spørgsmål'!C13=Projektforudsætninger!$C$20,'Dialogpart 1'!K47,IF('Sortering af spørgsmål'!C13=Projektforudsætninger!$C$21,'Dialogpart 2'!K47,IF('Sortering af spørgsmål'!C13=Projektforudsætninger!$C$22,'Dialogpart 3'!K47,IF('Sortering af spørgsmål'!C13=Projektforudsætninger!$C$23,'Dialogpart 4'!K47,IF('Sortering af spørgsmål'!C13=Projektforudsætninger!$C$24,'Dialogpart 5'!K47,IF('Sortering af spørgsmål'!C13=Projektforudsætninger!$C$25,'Dialogpart 6'!K47,IF('Sortering af spørgsmål'!C13=Projektforudsætninger!$C$26,'Dialogpart 7'!K47,"")))))))</f>
        <v/>
      </c>
    </row>
    <row r="92" spans="1:6" x14ac:dyDescent="0.45">
      <c r="A92" s="659"/>
      <c r="B92" s="673" t="str">
        <f>'DGNB matrice'!C85</f>
        <v>7.1</v>
      </c>
      <c r="C92" s="665" t="str">
        <f>'DGNB matrice'!D85</f>
        <v>Tekniske installationer, ventilation/klimateknik</v>
      </c>
      <c r="D92" s="635" t="str">
        <f>IF('Sortering af spørgsmål'!C13="Ikke relevant","-",IF('Sortering af spørgsmål'!C13="Vælg fra rullemenu:","Mangler svar",Arbejdsark!K139))</f>
        <v>Mangler svar</v>
      </c>
      <c r="E92" s="635" t="str">
        <f>IF('Sortering af spørgsmål'!C13="Ikke relevant","-",IF('Sortering af spørgsmål'!C13="Vælg fra rullemenu:","Mangler svar",Arbejdsark!N139))</f>
        <v>Mangler svar</v>
      </c>
      <c r="F92" s="639" t="str">
        <f>IF('Sortering af spørgsmål'!C13=Projektforudsætninger!$C$20,'Dialogpart 1'!K45,IF('Sortering af spørgsmål'!C13=Projektforudsætninger!$C$21,'Dialogpart 2'!K45,IF('Sortering af spørgsmål'!C13=Projektforudsætninger!$C$22,'Dialogpart 3'!K45,IF('Sortering af spørgsmål'!C13=Projektforudsætninger!$C$23,'Dialogpart 4'!K45,IF('Sortering af spørgsmål'!C13=Projektforudsætninger!$C$24,'Dialogpart 5'!K45,IF('Sortering af spørgsmål'!C13=Projektforudsætninger!$C$25,'Dialogpart 6'!K45,IF('Sortering af spørgsmål'!C13=Projektforudsætninger!$C$26,'Dialogpart 7'!K45,"")))))))</f>
        <v/>
      </c>
    </row>
    <row r="93" spans="1:6" x14ac:dyDescent="0.45">
      <c r="A93" s="659"/>
      <c r="B93" s="673" t="str">
        <f>'DGNB matrice'!C86</f>
        <v>7.2</v>
      </c>
      <c r="C93" s="665" t="str">
        <f>'DGNB matrice'!D86</f>
        <v>Tekniske installationer, køling</v>
      </c>
      <c r="D93" s="640" t="str">
        <f>IF('Sortering af spørgsmål'!C13="Ikke relevant","-",IF('Sortering af spørgsmål'!C13="Vælg fra rullemenu:","Mangler svar",Arbejdsark!K139))</f>
        <v>Mangler svar</v>
      </c>
      <c r="E93" s="640" t="str">
        <f>IF('Sortering af spørgsmål'!C13="Ikke relevant","-",IF('Sortering af spørgsmål'!C13="Vælg fra rullemenu:","Mangler svar",Arbejdsark!N139))</f>
        <v>Mangler svar</v>
      </c>
      <c r="F93" s="641" t="str">
        <f>IF(F92="","","Se kommentar under 'Tekniske installationer - indeklima'")</f>
        <v/>
      </c>
    </row>
    <row r="94" spans="1:6" x14ac:dyDescent="0.45">
      <c r="A94" s="660"/>
      <c r="B94" s="661" t="str">
        <f>'DGNB matrice'!C87</f>
        <v>7.3</v>
      </c>
      <c r="C94" s="661" t="str">
        <f>'DGNB matrice'!D87</f>
        <v>Tekniske installationer, afløb</v>
      </c>
      <c r="D94" s="640" t="str">
        <f>IF('Sortering af spørgsmål'!C13="Ikke relevant","-",IF('Sortering af spørgsmål'!C13="Vælg fra rullemenu:","Mangler svar",Arbejdsark!K139))</f>
        <v>Mangler svar</v>
      </c>
      <c r="E94" s="640" t="str">
        <f>IF('Sortering af spørgsmål'!C13="Ikke relevant","-",IF('Sortering af spørgsmål'!C13="Vælg fra rullemenu:","Mangler svar",Arbejdsark!N139))</f>
        <v>Mangler svar</v>
      </c>
      <c r="F94" s="641" t="str">
        <f>IF(F92="","","Se kommentar under 'Tekniske installationer - indeklima'")</f>
        <v/>
      </c>
    </row>
    <row r="95" spans="1:6" x14ac:dyDescent="0.45">
      <c r="A95" s="654" t="str">
        <f>'DGNB matrice'!B88</f>
        <v>ECO2.2</v>
      </c>
      <c r="B95" s="654" t="str">
        <f>'DGNB matrice'!C88</f>
        <v>Robusthed</v>
      </c>
      <c r="C95" s="655"/>
      <c r="D95" s="640"/>
      <c r="E95" s="640"/>
      <c r="F95" s="641"/>
    </row>
    <row r="96" spans="1:6" x14ac:dyDescent="0.45">
      <c r="A96" s="656"/>
      <c r="B96" s="661" t="str">
        <f>'DGNB matrice'!C89</f>
        <v>1.1</v>
      </c>
      <c r="C96" s="661" t="str">
        <f>'DGNB matrice'!D89</f>
        <v>Levetid facade</v>
      </c>
      <c r="D96" s="635" t="str">
        <f>IF('Sortering af spørgsmål'!C12="Ikke relevant","-",IF('Sortering af spørgsmål'!C12="Vælg fra rullemenu:","Mangler svar",Arbejdsark!K91))</f>
        <v>Mangler svar</v>
      </c>
      <c r="E96" s="635" t="str">
        <f>IF('Sortering af spørgsmål'!C12="Ikke relevant","-",IF('Sortering af spørgsmål'!C12="Vælg fra rullemenu:","Mangler svar",Arbejdsark!N91))</f>
        <v>Mangler svar</v>
      </c>
      <c r="F96" s="639" t="str">
        <f>IF('Sortering af spørgsmål'!C12=Projektforudsætninger!$C$20,'Dialogpart 1'!K36,IF('Sortering af spørgsmål'!C12=Projektforudsætninger!$C$21,'Dialogpart 2'!K36,IF('Sortering af spørgsmål'!C12=Projektforudsætninger!$C$22,'Dialogpart 3'!K36,IF('Sortering af spørgsmål'!C12=Projektforudsætninger!$C$23,'Dialogpart 4'!K36,IF('Sortering af spørgsmål'!C12=Projektforudsætninger!$C$24,'Dialogpart 5'!K36,IF('Sortering af spørgsmål'!C12=Projektforudsætninger!$C$25,'Dialogpart 6'!K36,IF('Sortering af spørgsmål'!C12=Projektforudsætninger!$C$26,'Dialogpart 7'!K36,"")))))))</f>
        <v/>
      </c>
    </row>
    <row r="97" spans="1:6" x14ac:dyDescent="0.45">
      <c r="A97" s="659"/>
      <c r="B97" s="661" t="str">
        <f>'DGNB matrice'!C90</f>
        <v>1.2</v>
      </c>
      <c r="C97" s="661" t="str">
        <f>'DGNB matrice'!D90</f>
        <v>Levetid tag</v>
      </c>
      <c r="D97" s="640" t="str">
        <f>IF('Sortering af spørgsmål'!C12="Ikke relevant","-",IF('Sortering af spørgsmål'!C12="Vælg fra rullemenu:","Mangler svar",Arbejdsark!K91))</f>
        <v>Mangler svar</v>
      </c>
      <c r="E97" s="640" t="str">
        <f>IF('Sortering af spørgsmål'!C12="Ikke relevant","-",IF('Sortering af spørgsmål'!C12="Vælg fra rullemenu:","Mangler svar",Arbejdsark!N91))</f>
        <v>Mangler svar</v>
      </c>
      <c r="F97" s="641" t="str">
        <f>IF(F96="","","Se kommentar under 'Facadematerialernes levetid'")</f>
        <v/>
      </c>
    </row>
    <row r="98" spans="1:6" x14ac:dyDescent="0.45">
      <c r="A98" s="659"/>
      <c r="B98" s="661" t="str">
        <f>'DGNB matrice'!C91</f>
        <v>1.3</v>
      </c>
      <c r="C98" s="661" t="str">
        <f>'DGNB matrice'!D91</f>
        <v>Levetid vinduer og yderdøre</v>
      </c>
      <c r="D98" s="640" t="str">
        <f>IF('Sortering af spørgsmål'!C12="Ikke relevant","-",IF('Sortering af spørgsmål'!C12="Vælg fra rullemenu:","Mangler svar",Arbejdsark!K91))</f>
        <v>Mangler svar</v>
      </c>
      <c r="E98" s="640" t="str">
        <f>IF('Sortering af spørgsmål'!C12="Ikke relevant","-",IF('Sortering af spørgsmål'!C12="Vælg fra rullemenu:","Mangler svar",Arbejdsark!N91))</f>
        <v>Mangler svar</v>
      </c>
      <c r="F98" s="641" t="str">
        <f>IF(F96="","","Se kommentar under 'Facadematerialernes levetid'")</f>
        <v/>
      </c>
    </row>
    <row r="99" spans="1:6" x14ac:dyDescent="0.45">
      <c r="A99" s="659"/>
      <c r="B99" s="661" t="str">
        <f>'DGNB matrice'!C92</f>
        <v>2.</v>
      </c>
      <c r="C99" s="661" t="str">
        <f>'DGNB matrice'!D92</f>
        <v>Robuste løsninger</v>
      </c>
      <c r="D99" s="635" t="str">
        <f>IF('Sortering af spørgsmål'!C14="Ikke relevant","-",IF('Sortering af spørgsmål'!C14="Vælg fra rullemenu:","Mangler svar",Arbejdsark!K159))</f>
        <v>Mangler svar</v>
      </c>
      <c r="E99" s="635" t="str">
        <f>IF('Sortering af spørgsmål'!C14="Ikke relevant","-",IF('Sortering af spørgsmål'!C14="Vælg fra rullemenu:","Mangler svar",Arbejdsark!N159))</f>
        <v>Mangler svar</v>
      </c>
      <c r="F99" s="639" t="str">
        <f>IF('Sortering af spørgsmål'!C14=Projektforudsætninger!$C$20,'Dialogpart 1'!K50,IF('Sortering af spørgsmål'!C14=Projektforudsætninger!$C$21,'Dialogpart 2'!K50,IF('Sortering af spørgsmål'!C14=Projektforudsætninger!$C$22,'Dialogpart 3'!K50,IF('Sortering af spørgsmål'!C14=Projektforudsætninger!$C$23,'Dialogpart 4'!K50,IF('Sortering af spørgsmål'!C14=Projektforudsætninger!$C$24,'Dialogpart 5'!K50,IF('Sortering af spørgsmål'!C14=Projektforudsætninger!$C$25,'Dialogpart 6'!K50,IF('Sortering af spørgsmål'!C14=Projektforudsætninger!$C$26,'Dialogpart 7'!K50,"")))))))</f>
        <v/>
      </c>
    </row>
    <row r="100" spans="1:6" x14ac:dyDescent="0.45">
      <c r="A100" s="659"/>
      <c r="B100" s="661" t="str">
        <f>'DGNB matrice'!C93</f>
        <v>3.</v>
      </c>
      <c r="C100" s="661" t="str">
        <f>'DGNB matrice'!D93</f>
        <v>Passive designstrategier</v>
      </c>
      <c r="D100" s="635" t="str">
        <f>IF('Sortering af spørgsmål'!C28="Ikke relevant","-",IF('Sortering af spørgsmål'!C28="Vælg fra rullemenu:","Mangler svar",Arbejdsark!K492))</f>
        <v>Mangler svar</v>
      </c>
      <c r="E100" s="635" t="str">
        <f>IF('Sortering af spørgsmål'!C28="Ikke relevant","-",IF('Sortering af spørgsmål'!C28="Vælg fra rullemenu:","Mangler svar",Arbejdsark!N492))</f>
        <v>Mangler svar</v>
      </c>
      <c r="F100" s="642" t="str">
        <f>IF('Sortering af spørgsmål'!C28=Projektforudsætninger!$C$20,'Dialogpart 1'!K149,IF('Sortering af spørgsmål'!C28=Projektforudsætninger!$C$21,'Dialogpart 2'!K148,IF('Sortering af spørgsmål'!C28=Projektforudsætninger!$C$22,'Dialogpart 3'!K148,IF('Sortering af spørgsmål'!C28=Projektforudsætninger!$C$23,'Dialogpart 4'!K148,IF('Sortering af spørgsmål'!C28=Projektforudsætninger!$C$24,'Dialogpart 5'!K148,IF('Sortering af spørgsmål'!C28=Projektforudsætninger!$C$25,'Dialogpart 6'!K148,IF('Sortering af spørgsmål'!C28=Projektforudsætninger!$C$26,'Dialogpart 7'!K148,"")))))))</f>
        <v/>
      </c>
    </row>
    <row r="101" spans="1:6" x14ac:dyDescent="0.45">
      <c r="A101" s="662"/>
      <c r="B101" s="661" t="str">
        <f>'DGNB matrice'!C94</f>
        <v>4.</v>
      </c>
      <c r="C101" s="661" t="str">
        <f>'DGNB matrice'!D94</f>
        <v>Kvalitet af lokalisering</v>
      </c>
      <c r="D101" s="635"/>
      <c r="E101" s="635"/>
      <c r="F101" s="636"/>
    </row>
    <row r="102" spans="1:6" x14ac:dyDescent="0.45">
      <c r="A102" s="662"/>
      <c r="B102" s="661" t="str">
        <f>'DGNB matrice'!C95</f>
        <v>5.</v>
      </c>
      <c r="C102" s="661" t="str">
        <f>'DGNB matrice'!D95</f>
        <v>Blandet anvendelse</v>
      </c>
      <c r="D102" s="635"/>
      <c r="E102" s="635"/>
      <c r="F102" s="636"/>
    </row>
    <row r="103" spans="1:6" x14ac:dyDescent="0.45">
      <c r="A103" s="654" t="str">
        <f>'DGNB matrice'!B96</f>
        <v>SOC1.1</v>
      </c>
      <c r="B103" s="654" t="str">
        <f>'DGNB matrice'!C96</f>
        <v>Termisk komfort</v>
      </c>
      <c r="C103" s="655"/>
      <c r="D103" s="640"/>
      <c r="E103" s="640"/>
      <c r="F103" s="641"/>
    </row>
    <row r="104" spans="1:6" ht="23.25" x14ac:dyDescent="0.45">
      <c r="A104" s="656"/>
      <c r="B104" s="661" t="str">
        <f>'DGNB matrice'!C97</f>
        <v>1.</v>
      </c>
      <c r="C104" s="661" t="str">
        <f>'DGNB matrice'!D97</f>
        <v>Operativ temperatur/vinterperiode (kvantitativ)</v>
      </c>
      <c r="D104" s="635" t="str">
        <f>IF('Sortering af spørgsmål'!C15="Ikke relevant","-",IF('Sortering af spørgsmål'!C15="Vælg fra rullemenu:","Mangler svar",Arbejdsark!K167))</f>
        <v>Mangler svar</v>
      </c>
      <c r="E104" s="635" t="str">
        <f>IF('Sortering af spørgsmål'!C15="Ikke relevant","-",IF('Sortering af spørgsmål'!C15="Vælg fra rullemenu:","Mangler svar",Arbejdsark!N167))</f>
        <v>Mangler svar</v>
      </c>
      <c r="F104" s="639" t="str">
        <f>IF('Sortering af spørgsmål'!C15=Projektforudsætninger!$C$20,'Dialogpart 1'!K56,IF('Sortering af spørgsmål'!C15=Projektforudsætninger!$C$21,'Dialogpart 2'!K56,IF('Sortering af spørgsmål'!C15=Projektforudsætninger!$C$22,'Dialogpart 3'!K56,IF('Sortering af spørgsmål'!C15=Projektforudsætninger!$C$23,'Dialogpart 4'!K56,IF('Sortering af spørgsmål'!C15=Projektforudsætninger!$C$24,'Dialogpart 5'!K56,IF('Sortering af spørgsmål'!C15=Projektforudsætninger!$C$25,'Dialogpart 6'!K56,IF('Sortering af spørgsmål'!C15=Projektforudsætninger!$C$26,'Dialogpart 7'!K56,"")))))))</f>
        <v/>
      </c>
    </row>
    <row r="105" spans="1:6" x14ac:dyDescent="0.45">
      <c r="A105" s="659"/>
      <c r="B105" s="661" t="str">
        <f>'DGNB matrice'!C98</f>
        <v>2.</v>
      </c>
      <c r="C105" s="661" t="str">
        <f>'DGNB matrice'!D98</f>
        <v>Træk/vinterperiode (kvalitativ)</v>
      </c>
      <c r="D105" s="635" t="str">
        <f>IF('Sortering af spørgsmål'!C15="Ikke relevant","-",IF('Sortering af spørgsmål'!C15="Vælg fra rullemenu:","Mangler svar",Arbejdsark!K172))</f>
        <v>Mangler svar</v>
      </c>
      <c r="E105" s="635" t="str">
        <f>IF('Sortering af spørgsmål'!C15="Ikke relevant","-",IF('Sortering af spørgsmål'!C15="Vælg fra rullemenu:","Mangler svar",Arbejdsark!N172))</f>
        <v>Mangler svar</v>
      </c>
      <c r="F105" s="639" t="str">
        <f>IF('Sortering af spørgsmål'!C15=Projektforudsætninger!$C$20,'Dialogpart 1'!K57,IF('Sortering af spørgsmål'!C15=Projektforudsætninger!$C$21,'Dialogpart 2'!K57,IF('Sortering af spørgsmål'!C15=Projektforudsætninger!$C$22,'Dialogpart 3'!K57,IF('Sortering af spørgsmål'!C15=Projektforudsætninger!$C$23,'Dialogpart 4'!K57,IF('Sortering af spørgsmål'!C15=Projektforudsætninger!$C$24,'Dialogpart 5'!K57,IF('Sortering af spørgsmål'!C15=Projektforudsætninger!$C$25,'Dialogpart 6'!K57,IF('Sortering af spørgsmål'!C15=Projektforudsætninger!$C$26,'Dialogpart 7'!K57,"")))))))</f>
        <v/>
      </c>
    </row>
    <row r="106" spans="1:6" ht="23.25" x14ac:dyDescent="0.45">
      <c r="A106" s="659"/>
      <c r="B106" s="661" t="str">
        <f>'DGNB matrice'!C99</f>
        <v>3.</v>
      </c>
      <c r="C106" s="661" t="str">
        <f>'DGNB matrice'!D99</f>
        <v>Asymmetrisk strålingstemperatur og gulvtemperatur/vinterperiode (kvalitativ)</v>
      </c>
      <c r="D106" s="635" t="str">
        <f>IF('Sortering af spørgsmål'!C15="Ikke relevant","-",IF('Sortering af spørgsmål'!C15="Vælg fra rullemenu:","Mangler svar",Arbejdsark!K177))</f>
        <v>Mangler svar</v>
      </c>
      <c r="E106" s="635" t="str">
        <f>IF('Sortering af spørgsmål'!C15="Ikke relevant","-",IF('Sortering af spørgsmål'!C15="Vælg fra rullemenu:","Mangler svar",Arbejdsark!N177))</f>
        <v>Mangler svar</v>
      </c>
      <c r="F106" s="639" t="str">
        <f>IF('Sortering af spørgsmål'!C15=Projektforudsætninger!$C$20,'Dialogpart 1'!K58,IF('Sortering af spørgsmål'!C15=Projektforudsætninger!$C$21,'Dialogpart 2'!K58,IF('Sortering af spørgsmål'!C15=Projektforudsætninger!$C$22,'Dialogpart 3'!K58,IF('Sortering af spørgsmål'!C15=Projektforudsætninger!$C$23,'Dialogpart 4'!K58,IF('Sortering af spørgsmål'!C15=Projektforudsætninger!$C$24,'Dialogpart 5'!K58,IF('Sortering af spørgsmål'!C15=Projektforudsætninger!$C$25,'Dialogpart 6'!K58,IF('Sortering af spørgsmål'!C15=Projektforudsætninger!$C$26,'Dialogpart 7'!K58,"")))))))</f>
        <v/>
      </c>
    </row>
    <row r="107" spans="1:6" ht="23.25" x14ac:dyDescent="0.45">
      <c r="A107" s="659"/>
      <c r="B107" s="661" t="str">
        <f>'DGNB matrice'!C100</f>
        <v>4.</v>
      </c>
      <c r="C107" s="661" t="str">
        <f>'DGNB matrice'!D100</f>
        <v xml:space="preserve">Operativ temperatur/sommerperiode (kvantitativ) </v>
      </c>
      <c r="D107" s="640" t="str">
        <f>IF('Sortering af spørgsmål'!C15="Ikke relevant","-",IF('Sortering af spørgsmål'!C15="Vælg fra rullemenu:","Mangler svar",Arbejdsark!K167))</f>
        <v>Mangler svar</v>
      </c>
      <c r="E107" s="640" t="str">
        <f>IF('Sortering af spørgsmål'!C15="Ikke relevant","-",IF('Sortering af spørgsmål'!C15="Vælg fra rullemenu:","Mangler svar",Arbejdsark!N167))</f>
        <v>Mangler svar</v>
      </c>
      <c r="F107" s="641" t="str">
        <f>IF(F104="","","Se kommentar under 'Operativ temperatur/vinterperiode'")</f>
        <v/>
      </c>
    </row>
    <row r="108" spans="1:6" x14ac:dyDescent="0.45">
      <c r="A108" s="659"/>
      <c r="B108" s="661" t="str">
        <f>'DGNB matrice'!C101</f>
        <v>5.</v>
      </c>
      <c r="C108" s="661" t="str">
        <f>'DGNB matrice'!D101</f>
        <v>Træk/sommerperiode (kvalitativ)</v>
      </c>
      <c r="D108" s="640" t="str">
        <f>IF('Sortering af spørgsmål'!C15="Ikke relevant","-",IF('Sortering af spørgsmål'!C15="Vælg fra rullemenu:","Mangler svar",Arbejdsark!K172))</f>
        <v>Mangler svar</v>
      </c>
      <c r="E108" s="640" t="str">
        <f>IF('Sortering af spørgsmål'!C15="Ikke relevant","-",IF('Sortering af spørgsmål'!C15="Vælg fra rullemenu:","Mangler svar",Arbejdsark!N172))</f>
        <v>Mangler svar</v>
      </c>
      <c r="F108" s="641" t="str">
        <f>IF(F105="","","Se kommentar under 'Træk/vinterperiode'")</f>
        <v/>
      </c>
    </row>
    <row r="109" spans="1:6" ht="23.25" x14ac:dyDescent="0.45">
      <c r="A109" s="659"/>
      <c r="B109" s="661" t="str">
        <f>'DGNB matrice'!C102</f>
        <v>6.</v>
      </c>
      <c r="C109" s="661" t="str">
        <f>'DGNB matrice'!D102</f>
        <v>Asymmetrisk strålingstemperatur og gulvtemperatur/sommerperiode (kvalitativ)</v>
      </c>
      <c r="D109" s="640" t="str">
        <f>IF('Sortering af spørgsmål'!C15="Ikke relevant","-",IF('Sortering af spørgsmål'!C15="Vælg fra rullemenu:","Mangler svar",Arbejdsark!K177))</f>
        <v>Mangler svar</v>
      </c>
      <c r="E109" s="640" t="str">
        <f>IF('Sortering af spørgsmål'!C15="Ikke relevant","-",IF('Sortering af spørgsmål'!C15="Vælg fra rullemenu:","Mangler svar",Arbejdsark!N177))</f>
        <v>Mangler svar</v>
      </c>
      <c r="F109" s="641" t="str">
        <f>IF(F106="","","Se kommentar under 'Asymmetrisk strålingstemperatur og gulvtemperatur/vinterperiode'")</f>
        <v/>
      </c>
    </row>
    <row r="110" spans="1:6" x14ac:dyDescent="0.45">
      <c r="A110" s="654" t="str">
        <f>'DGNB matrice'!B103</f>
        <v>SOC1.2</v>
      </c>
      <c r="B110" s="654" t="str">
        <f>'DGNB matrice'!C103</f>
        <v>Indendørs luftkvalitet</v>
      </c>
      <c r="C110" s="655"/>
      <c r="D110" s="640"/>
      <c r="E110" s="640"/>
      <c r="F110" s="641"/>
    </row>
    <row r="111" spans="1:6" x14ac:dyDescent="0.45">
      <c r="A111" s="656"/>
      <c r="B111" s="661" t="str">
        <f>'DGNB matrice'!C104</f>
        <v>1.</v>
      </c>
      <c r="C111" s="661" t="str">
        <f>'DGNB matrice'!D104</f>
        <v>Flygtige organiske forbindelser (VOC)</v>
      </c>
      <c r="D111" s="635" t="str">
        <f>IF('Sortering af spørgsmål'!C15="Ikke relevant","-",IF('Sortering af spørgsmål'!C15="Vælg fra rullemenu:","Mangler svar",Arbejdsark!K192))</f>
        <v>Mangler svar</v>
      </c>
      <c r="E111" s="635" t="str">
        <f>IF('Sortering af spørgsmål'!C15="Ikke relevant","-",IF('Sortering af spørgsmål'!C15="Vælg fra rullemenu:","Mangler svar",Arbejdsark!N192))</f>
        <v>Mangler svar</v>
      </c>
      <c r="F111" s="639" t="str">
        <f>IF('Sortering af spørgsmål'!C15=Projektforudsætninger!$C$20,'Dialogpart 1'!K61,IF('Sortering af spørgsmål'!C15=Projektforudsætninger!$C$21,'Dialogpart 2'!K61,IF('Sortering af spørgsmål'!C15=Projektforudsætninger!$C$22,'Dialogpart 3'!K61,IF('Sortering af spørgsmål'!C15=Projektforudsætninger!$C$23,'Dialogpart 4'!K61,IF('Sortering af spørgsmål'!C15=Projektforudsætninger!$C$24,'Dialogpart 5'!K61,IF('Sortering af spørgsmål'!C15=Projektforudsætninger!$C$25,'Dialogpart 6'!K61,IF('Sortering af spørgsmål'!C15=Projektforudsætninger!$C$26,'Dialogpart 7'!K61,"")))))))</f>
        <v/>
      </c>
    </row>
    <row r="112" spans="1:6" x14ac:dyDescent="0.45">
      <c r="A112" s="660"/>
      <c r="B112" s="661" t="str">
        <f>'DGNB matrice'!C105</f>
        <v>2.</v>
      </c>
      <c r="C112" s="661" t="str">
        <f>'DGNB matrice'!D105</f>
        <v>Ventilationsrate</v>
      </c>
      <c r="D112" s="635" t="str">
        <f>IF('Sortering af spørgsmål'!C15="Ikke relevant","-",IF('Sortering af spørgsmål'!C15="Vælg fra rullemenu:","Mangler svar",Arbejdsark!K187))</f>
        <v>Mangler svar</v>
      </c>
      <c r="E112" s="635" t="str">
        <f>IF('Sortering af spørgsmål'!C15="Ikke relevant","-",IF('Sortering af spørgsmål'!C15="Vælg fra rullemenu:","Mangler svar",Arbejdsark!N187))</f>
        <v>Mangler svar</v>
      </c>
      <c r="F112" s="639" t="str">
        <f>IF('Sortering af spørgsmål'!C15=Projektforudsætninger!$C$20,'Dialogpart 1'!K60,IF('Sortering af spørgsmål'!C15=Projektforudsætninger!$C$21,'Dialogpart 2'!K60,IF('Sortering af spørgsmål'!C15=Projektforudsætninger!$C$22,'Dialogpart 3'!K60,IF('Sortering af spørgsmål'!C15=Projektforudsætninger!$C$23,'Dialogpart 4'!K60,IF('Sortering af spørgsmål'!C15=Projektforudsætninger!$C$24,'Dialogpart 5'!K60,IF('Sortering af spørgsmål'!C15=Projektforudsætninger!$C$25,'Dialogpart 6'!K60,IF('Sortering af spørgsmål'!C15=Projektforudsætninger!$C$26,'Dialogpart 7'!K60,"")))))))</f>
        <v/>
      </c>
    </row>
    <row r="113" spans="1:6" x14ac:dyDescent="0.45">
      <c r="A113" s="654" t="str">
        <f>'DGNB matrice'!B106</f>
        <v>SOC1.4</v>
      </c>
      <c r="B113" s="654" t="str">
        <f>'DGNB matrice'!C106</f>
        <v>Visuel komfort</v>
      </c>
      <c r="C113" s="655"/>
      <c r="D113" s="640"/>
      <c r="E113" s="640"/>
      <c r="F113" s="641"/>
    </row>
    <row r="114" spans="1:6" x14ac:dyDescent="0.45">
      <c r="A114" s="656"/>
      <c r="B114" s="661" t="str">
        <f>'DGNB matrice'!C107</f>
        <v>1.</v>
      </c>
      <c r="C114" s="661" t="str">
        <f>'DGNB matrice'!D107</f>
        <v>Dagslys i bygningen</v>
      </c>
      <c r="D114" s="635" t="str">
        <f>IF('Sortering af spørgsmål'!C15="Ikke relevant","-",IF('Sortering af spørgsmål'!C15="Vælg fra rullemenu:","Mangler svar",Arbejdsark!K197))</f>
        <v>Mangler svar</v>
      </c>
      <c r="E114" s="635" t="str">
        <f>IF('Sortering af spørgsmål'!C15="Ikke relevant","-",IF('Sortering af spørgsmål'!C15="Vælg fra rullemenu:","Mangler svar",Arbejdsark!N197))</f>
        <v>Mangler svar</v>
      </c>
      <c r="F114" s="639" t="str">
        <f>IF('Sortering af spørgsmål'!C15=Projektforudsætninger!$C$20,'Dialogpart 1'!K62,IF('Sortering af spørgsmål'!C15=Projektforudsætninger!$C$21,'Dialogpart 2'!K62,IF('Sortering af spørgsmål'!C15=Projektforudsætninger!$C$22,'Dialogpart 3'!K62,IF('Sortering af spørgsmål'!C15=Projektforudsætninger!$C$23,'Dialogpart 4'!K62,IF('Sortering af spørgsmål'!C15=Projektforudsætninger!$C$24,'Dialogpart 5'!K62,IF('Sortering af spørgsmål'!C15=Projektforudsætninger!$C$25,'Dialogpart 6'!K62,IF('Sortering af spørgsmål'!C15=Projektforudsætninger!$C$26,'Dialogpart 7'!K62,"")))))))</f>
        <v/>
      </c>
    </row>
    <row r="115" spans="1:6" ht="70.5" customHeight="1" x14ac:dyDescent="0.45">
      <c r="A115" s="659"/>
      <c r="B115" s="661" t="str">
        <f>'DGNB matrice'!C108</f>
        <v>2.</v>
      </c>
      <c r="C115" s="661" t="str">
        <f>'DGNB matrice'!D108</f>
        <v>Dagslys i boligen</v>
      </c>
      <c r="D115" s="640" t="str">
        <f>IF('Sortering af spørgsmål'!C15="Ikke relevant","-",IF('Sortering af spørgsmål'!C15="Vælg fra rullemenu:","Mangler svar",Arbejdsark!K197))</f>
        <v>Mangler svar</v>
      </c>
      <c r="E115" s="640" t="str">
        <f>IF('Sortering af spørgsmål'!C15="Ikke relevant","-",IF('Sortering af spørgsmål'!C15="Vælg fra rullemenu:","Mangler svar",Arbejdsark!N197))</f>
        <v>Mangler svar</v>
      </c>
      <c r="F115" s="641" t="str">
        <f>IF(F114="","","Se kommentar under 'Dagslys i bygningen'")</f>
        <v/>
      </c>
    </row>
    <row r="116" spans="1:6" x14ac:dyDescent="0.45">
      <c r="A116" s="659"/>
      <c r="B116" s="661" t="str">
        <f>'DGNB matrice'!C109</f>
        <v>3.</v>
      </c>
      <c r="C116" s="661" t="str">
        <f>'DGNB matrice'!D109</f>
        <v>Udsyn</v>
      </c>
      <c r="D116" s="635" t="str">
        <f>IF('Sortering af spørgsmål'!C15="Ikke relevant","-",IF('Sortering af spørgsmål'!C15="Vælg fra rullemenu:","Mangler svar",Arbejdsark!K212))</f>
        <v>Mangler svar</v>
      </c>
      <c r="E116" s="635" t="str">
        <f>IF('Sortering af spørgsmål'!C15="Ikke relevant","-",IF('Sortering af spørgsmål'!C15="Vælg fra rullemenu:","Mangler svar",Arbejdsark!N212))</f>
        <v>Mangler svar</v>
      </c>
      <c r="F116" s="639" t="str">
        <f>IF('Sortering af spørgsmål'!C15=Projektforudsætninger!$C$20,'Dialogpart 1'!K65,IF('Sortering af spørgsmål'!C15=Projektforudsætninger!$C$21,'Dialogpart 2'!K65,IF('Sortering af spørgsmål'!C15=Projektforudsætninger!$C$22,'Dialogpart 3'!K65,IF('Sortering af spørgsmål'!C15=Projektforudsætninger!$C$23,'Dialogpart 4'!K65,IF('Sortering af spørgsmål'!C15=Projektforudsætninger!$C$24,'Dialogpart 5'!K65,IF('Sortering af spørgsmål'!C15=Projektforudsætninger!$C$25,'Dialogpart 6'!K65,IF('Sortering af spørgsmål'!C15=Projektforudsætninger!$C$26,'Dialogpart 7'!K65,"")))))))</f>
        <v/>
      </c>
    </row>
    <row r="117" spans="1:6" x14ac:dyDescent="0.45">
      <c r="A117" s="659"/>
      <c r="B117" s="661" t="str">
        <f>'DGNB matrice'!C110</f>
        <v>7.</v>
      </c>
      <c r="C117" s="661" t="str">
        <f>'DGNB matrice'!D110</f>
        <v>Farvegengivelse</v>
      </c>
      <c r="D117" s="635" t="str">
        <f>IF('Sortering af spørgsmål'!C15="Ikke relevant","-",IF('Sortering af spørgsmål'!C15="Vælg fra rullemenu:","Mangler svar",Arbejdsark!K207))</f>
        <v>Mangler svar</v>
      </c>
      <c r="E117" s="635" t="str">
        <f>IF('Sortering af spørgsmål'!C15="Ikke relevant","-",IF('Sortering af spørgsmål'!C15="Vælg fra rullemenu:","Mangler svar",Arbejdsark!N207))</f>
        <v>Mangler svar</v>
      </c>
      <c r="F117" s="639" t="str">
        <f>IF('Sortering af spørgsmål'!C15=Projektforudsætninger!$C$20,'Dialogpart 1'!K64,IF('Sortering af spørgsmål'!C15=Projektforudsætninger!$C$21,'Dialogpart 2'!K64,IF('Sortering af spørgsmål'!C15=Projektforudsætninger!$C$22,'Dialogpart 3'!K64,IF('Sortering af spørgsmål'!C15=Projektforudsætninger!$C$23,'Dialogpart 4'!K64,IF('Sortering af spørgsmål'!C15=Projektforudsætninger!$C$24,'Dialogpart 5'!K64,IF('Sortering af spørgsmål'!C15=Projektforudsætninger!$C$25,'Dialogpart 6'!K64,IF('Sortering af spørgsmål'!C15=Projektforudsætninger!$C$26,'Dialogpart 7'!K64,"")))))))</f>
        <v/>
      </c>
    </row>
    <row r="118" spans="1:6" x14ac:dyDescent="0.45">
      <c r="A118" s="660"/>
      <c r="B118" s="661" t="str">
        <f>'DGNB matrice'!C111</f>
        <v>8.</v>
      </c>
      <c r="C118" s="661" t="str">
        <f>'DGNB matrice'!D111</f>
        <v>Sollys</v>
      </c>
      <c r="D118" s="635" t="str">
        <f>IF('Sortering af spørgsmål'!C15="Ikke relevant","-",IF('Sortering af spørgsmål'!C15="Vælg fra rullemenu:","Mangler svar",Arbejdsark!K202))</f>
        <v>Mangler svar</v>
      </c>
      <c r="E118" s="635" t="str">
        <f>IF('Sortering af spørgsmål'!C15="Ikke relevant","-",IF('Sortering af spørgsmål'!C15="Vælg fra rullemenu:","Mangler svar",Arbejdsark!N202))</f>
        <v>Mangler svar</v>
      </c>
      <c r="F118" s="639" t="str">
        <f>IF('Sortering af spørgsmål'!C15=Projektforudsætninger!$C$20,'Dialogpart 1'!K63,IF('Sortering af spørgsmål'!C15=Projektforudsætninger!$C$21,'Dialogpart 2'!K63,IF('Sortering af spørgsmål'!C15=Projektforudsætninger!$C$22,'Dialogpart 3'!K63,IF('Sortering af spørgsmål'!C15=Projektforudsætninger!$C$23,'Dialogpart 4'!K63,IF('Sortering af spørgsmål'!C15=Projektforudsætninger!$C$24,'Dialogpart 5'!K63,IF('Sortering af spørgsmål'!C15=Projektforudsætninger!$C$25,'Dialogpart 6'!K63,IF('Sortering af spørgsmål'!C15=Projektforudsætninger!$C$26,'Dialogpart 7'!K63,"")))))))</f>
        <v/>
      </c>
    </row>
    <row r="119" spans="1:6" ht="34.9" x14ac:dyDescent="0.45">
      <c r="A119" s="654" t="str">
        <f>'DGNB matrice'!B112</f>
        <v>SOC1.5</v>
      </c>
      <c r="B119" s="654" t="str">
        <f>'DGNB matrice'!C112</f>
        <v>Brugernes muligheder for styring af indeklimaet</v>
      </c>
      <c r="C119" s="655"/>
      <c r="D119" s="640"/>
      <c r="E119" s="640"/>
      <c r="F119" s="641"/>
    </row>
    <row r="120" spans="1:6" x14ac:dyDescent="0.45">
      <c r="A120" s="656"/>
      <c r="B120" s="661" t="str">
        <f>'DGNB matrice'!C113</f>
        <v>1.</v>
      </c>
      <c r="C120" s="661" t="str">
        <f>'DGNB matrice'!D113</f>
        <v>Ventilation</v>
      </c>
      <c r="D120" s="635" t="str">
        <f>IF('Sortering af spørgsmål'!C16="Ikke relevant","-",IF('Sortering af spørgsmål'!C16="Vælg fra rullemenu:","Mangler svar",Arbejdsark!K222))</f>
        <v>Mangler svar</v>
      </c>
      <c r="E120" s="635" t="str">
        <f>IF('Sortering af spørgsmål'!C16="Ikke relevant","-",IF('Sortering af spørgsmål'!C16="Vælg fra rullemenu:","Mangler svar",Arbejdsark!N222))</f>
        <v>Mangler svar</v>
      </c>
      <c r="F120" s="639" t="str">
        <f>IF('Sortering af spørgsmål'!C16=Projektforudsætninger!$C$20,'Dialogpart 1'!K69,IF('Sortering af spørgsmål'!C16=Projektforudsætninger!$C$21,'Dialogpart 2'!K69,IF('Sortering af spørgsmål'!C16=Projektforudsætninger!$C$22,'Dialogpart 3'!K69,IF('Sortering af spørgsmål'!C16=Projektforudsætninger!$C$23,'Dialogpart 4'!K69,IF('Sortering af spørgsmål'!C16=Projektforudsætninger!$C$24,'Dialogpart 5'!K69,IF('Sortering af spørgsmål'!C16=Projektforudsætninger!$C$25,'Dialogpart 6'!K69,IF('Sortering af spørgsmål'!C16=Projektforudsætninger!$C$26,'Dialogpart 7'!K69,"")))))))</f>
        <v/>
      </c>
    </row>
    <row r="121" spans="1:6" x14ac:dyDescent="0.45">
      <c r="A121" s="659"/>
      <c r="B121" s="661" t="str">
        <f>'DGNB matrice'!C114</f>
        <v>2.</v>
      </c>
      <c r="C121" s="661" t="str">
        <f>'DGNB matrice'!D114</f>
        <v>Solafskærmning (udvendig eller ml. ruder)</v>
      </c>
      <c r="D121" s="635" t="str">
        <f>IF('Sortering af spørgsmål'!C16="Ikke relevant","-",IF('Sortering af spørgsmål'!C16="Vælg fra rullemenu:","Mangler svar",Arbejdsark!K227))</f>
        <v>Mangler svar</v>
      </c>
      <c r="E121" s="635" t="str">
        <f>IF('Sortering af spørgsmål'!C16="Ikke relevant","-",IF('Sortering af spørgsmål'!C16="Vælg fra rullemenu:","Mangler svar",Arbejdsark!N227))</f>
        <v>Mangler svar</v>
      </c>
      <c r="F121" s="642" t="str">
        <f>IF('Sortering af spørgsmål'!C16=Projektforudsætninger!$C$20,'Dialogpart 1'!K70,IF('Sortering af spørgsmål'!C16=Projektforudsætninger!$C$21,'Dialogpart 2'!K70,IF('Sortering af spørgsmål'!C16=Projektforudsætninger!$C$22,'Dialogpart 3'!K70,IF('Sortering af spørgsmål'!C16=Projektforudsætninger!$C$23,'Dialogpart 4'!K70,IF('Sortering af spørgsmål'!C16=Projektforudsætninger!$C$24,'Dialogpart 5'!K70,IF('Sortering af spørgsmål'!C16=Projektforudsætninger!$C$25,'Dialogpart 6'!K70,IF('Sortering af spørgsmål'!C16=Projektforudsætninger!$C$26,'Dialogpart 7'!K70,"")))))))</f>
        <v/>
      </c>
    </row>
    <row r="122" spans="1:6" x14ac:dyDescent="0.45">
      <c r="A122" s="659"/>
      <c r="B122" s="661" t="str">
        <f>'DGNB matrice'!C115</f>
        <v>5.</v>
      </c>
      <c r="C122" s="661" t="str">
        <f>'DGNB matrice'!D115</f>
        <v xml:space="preserve">Temperaturer i sommerperioden </v>
      </c>
      <c r="D122" s="635" t="str">
        <f>IF('Sortering af spørgsmål'!C16="Ikke relevant","-",IF('Sortering af spørgsmål'!C16="Vælg fra rullemenu:","Mangler svar",Arbejdsark!K217))</f>
        <v>Mangler svar</v>
      </c>
      <c r="E122" s="635" t="str">
        <f>IF('Sortering af spørgsmål'!C16="Ikke relevant","-",IF('Sortering af spørgsmål'!C16="Vælg fra rullemenu:","Mangler svar",Arbejdsark!N217))</f>
        <v>Mangler svar</v>
      </c>
      <c r="F122" s="639" t="str">
        <f>IF('Sortering af spørgsmål'!C16=Projektforudsætninger!$C$20,'Dialogpart 1'!K68,IF('Sortering af spørgsmål'!C16=Projektforudsætninger!$C$21,'Dialogpart 2'!K68,IF('Sortering af spørgsmål'!C16=Projektforudsætninger!$C$22,'Dialogpart 3'!K68,IF('Sortering af spørgsmål'!C16=Projektforudsætninger!$C$23,'Dialogpart 4'!K68,IF('Sortering af spørgsmål'!C16=Projektforudsætninger!$C$24,'Dialogpart 5'!K68,IF('Sortering af spørgsmål'!C16=Projektforudsætninger!$C$25,'Dialogpart 6'!K68,IF('Sortering af spørgsmål'!C16=Projektforudsætninger!$C$26,'Dialogpart 7'!K68,"")))))))</f>
        <v/>
      </c>
    </row>
    <row r="123" spans="1:6" x14ac:dyDescent="0.45">
      <c r="A123" s="654" t="str">
        <f>'DGNB matrice'!B116</f>
        <v>SOC1.6</v>
      </c>
      <c r="B123" s="654" t="str">
        <f>'DGNB matrice'!C116</f>
        <v>Kvalitet af udearealer</v>
      </c>
      <c r="C123" s="655"/>
      <c r="D123" s="640"/>
      <c r="E123" s="640"/>
      <c r="F123" s="641"/>
    </row>
    <row r="124" spans="1:6" x14ac:dyDescent="0.45">
      <c r="A124" s="656"/>
      <c r="B124" s="661" t="str">
        <f>'DGNB matrice'!C117</f>
        <v>1.1</v>
      </c>
      <c r="C124" s="661" t="str">
        <f>'DGNB matrice'!D117</f>
        <v>Aktivering af tagflader</v>
      </c>
      <c r="D124" s="640"/>
      <c r="E124" s="640"/>
      <c r="F124" s="641"/>
    </row>
    <row r="125" spans="1:6" x14ac:dyDescent="0.45">
      <c r="A125" s="659"/>
      <c r="B125" s="661" t="str">
        <f>'DGNB matrice'!C118</f>
        <v>1.2</v>
      </c>
      <c r="C125" s="661" t="str">
        <f>'DGNB matrice'!D118</f>
        <v>Tagbeplantningens type</v>
      </c>
      <c r="D125" s="635" t="str">
        <f>IF('Sortering af spørgsmål'!C9="Ikke relevant","-",IF('Sortering af spørgsmål'!C9="Vælg fra rullemenu:","Mangler svar",Arbejdsark!K68))</f>
        <v>Mangler svar</v>
      </c>
      <c r="E125" s="635" t="str">
        <f>IF('Sortering af spørgsmål'!C9="Ikke relevant","-",IF('Sortering af spørgsmål'!C9="Vælg fra rullemenu:","Mangler svar",Arbejdsark!N68))</f>
        <v>Mangler svar</v>
      </c>
      <c r="F125" s="642" t="str">
        <f>IF('Sortering af spørgsmål'!C9=Projektforudsætninger!$C$20,'Dialogpart 1'!K24,IF('Sortering af spørgsmål'!C9=Projektforudsætninger!$C$21,'Dialogpart 2'!K24,IF('Sortering af spørgsmål'!C9=Projektforudsætninger!$C$22,'Dialogpart 3'!K24,IF('Sortering af spørgsmål'!C9=Projektforudsætninger!$C$23,'Dialogpart 4'!K24,IF('Sortering af spørgsmål'!C9=Projektforudsætninger!$C$24,'Dialogpart 5'!K24,IF('Sortering af spørgsmål'!C9=Projektforudsætninger!$C$25,'Dialogpart 6'!K24,IF('Sortering af spørgsmål'!C9=Projektforudsætninger!$C$26,'Dialogpart 7'!K24,"")))))))</f>
        <v/>
      </c>
    </row>
    <row r="126" spans="1:6" x14ac:dyDescent="0.45">
      <c r="A126" s="659"/>
      <c r="B126" s="661" t="str">
        <f>'DGNB matrice'!C119</f>
        <v>1.3</v>
      </c>
      <c r="C126" s="661" t="str">
        <f>'DGNB matrice'!D119</f>
        <v>Facadeintegrerede udearealer</v>
      </c>
      <c r="D126" s="635" t="str">
        <f>IF('Sortering af spørgsmål'!C14="Ikke relevant","-",IF('Sortering af spørgsmål'!C14="Vælg fra rullemenu:","Mangler svar",Arbejdsark!K154))</f>
        <v>Mangler svar</v>
      </c>
      <c r="E126" s="635" t="str">
        <f>IF('Sortering af spørgsmål'!C14="Ikke relevant","-",IF('Sortering af spørgsmål'!C14="Vælg fra rullemenu:","Mangler svar",Arbejdsark!N154))</f>
        <v>Mangler svar</v>
      </c>
      <c r="F126" s="642" t="str">
        <f>IF('Sortering af spørgsmål'!C14=Projektforudsætninger!$C$20,'Dialogpart 1'!K50,IF('Sortering af spørgsmål'!C14=Projektforudsætninger!$C$21,'Dialogpart 2'!K50,IF('Sortering af spørgsmål'!C14=Projektforudsætninger!$C$22,'Dialogpart 3'!K50,IF('Sortering af spørgsmål'!C14=Projektforudsætninger!$C$23,'Dialogpart 4'!K50,IF('Sortering af spørgsmål'!C14=Projektforudsætninger!$C$24,'Dialogpart 5'!K50,IF('Sortering af spørgsmål'!C14=Projektforudsætninger!$C$25,'Dialogpart 6'!K50,IF('Sortering af spørgsmål'!C14=Projektforudsætninger!$C$26,'Dialogpart 7'!K50,"")))))))</f>
        <v/>
      </c>
    </row>
    <row r="127" spans="1:6" x14ac:dyDescent="0.45">
      <c r="A127" s="659"/>
      <c r="B127" s="661" t="str">
        <f>'DGNB matrice'!C120</f>
        <v>1.5</v>
      </c>
      <c r="C127" s="661" t="str">
        <f>'DGNB matrice'!D120</f>
        <v>Særlige arealer i stueetagen</v>
      </c>
      <c r="D127" s="640" t="str">
        <f>IF('Sortering af spørgsmål'!C14="Ikke relevant","-",IF('Sortering af spørgsmål'!C14="Vælg fra rullemenu:","Mangler svar",Arbejdsark!K154))</f>
        <v>Mangler svar</v>
      </c>
      <c r="E127" s="640" t="str">
        <f>IF('Sortering af spørgsmål'!C14="Ikke relevant","-",IF('Sortering af spørgsmål'!C14="Vælg fra rullemenu:","Mangler svar",Arbejdsark!N154))</f>
        <v>Mangler svar</v>
      </c>
      <c r="F127" s="641" t="str">
        <f>IF(F126="","","Se kommentar under 'Facadeintegrerede udearealer'")</f>
        <v/>
      </c>
    </row>
    <row r="128" spans="1:6" x14ac:dyDescent="0.45">
      <c r="A128" s="659"/>
      <c r="B128" s="661" t="str">
        <f>'DGNB matrice'!C121</f>
        <v>1.6</v>
      </c>
      <c r="C128" s="661" t="str">
        <f>'DGNB matrice'!D121</f>
        <v>Beplantning på facader</v>
      </c>
      <c r="D128" s="635" t="str">
        <f>IF('Sortering af spørgsmål'!C9="Ikke relevant","-",IF('Sortering af spørgsmål'!C9="Vælg fra rullemenu:","Mangler svar",Arbejdsark!K68))</f>
        <v>Mangler svar</v>
      </c>
      <c r="E128" s="635" t="str">
        <f>IF('Sortering af spørgsmål'!C9="Ikke relevant","-",IF('Sortering af spørgsmål'!C9="Vælg fra rullemenu:","Mangler svar",Arbejdsark!N68))</f>
        <v>Mangler svar</v>
      </c>
      <c r="F128" s="642" t="str">
        <f>IF('Sortering af spørgsmål'!C9=Projektforudsætninger!$C$20,'Dialogpart 1'!K24,IF('Sortering af spørgsmål'!C9=Projektforudsætninger!$C$21,'Dialogpart 2'!K24,IF('Sortering af spørgsmål'!C9=Projektforudsætninger!$C$22,'Dialogpart 3'!K24,IF('Sortering af spørgsmål'!C9=Projektforudsætninger!$C$23,'Dialogpart 4'!K24,IF('Sortering af spørgsmål'!C9=Projektforudsætninger!$C$24,'Dialogpart 5'!K24,IF('Sortering af spørgsmål'!C9=Projektforudsætninger!$C$25,'Dialogpart 6'!K24,IF('Sortering af spørgsmål'!C9=Projektforudsætninger!$C$26,'Dialogpart 7'!K24,"")))))))</f>
        <v/>
      </c>
    </row>
    <row r="129" spans="1:6" ht="34.9" x14ac:dyDescent="0.45">
      <c r="A129" s="659"/>
      <c r="B129" s="661" t="str">
        <f>'DGNB matrice'!C122</f>
        <v>1.7</v>
      </c>
      <c r="C129" s="661" t="str">
        <f>'DGNB matrice'!D122</f>
        <v>Orientering af bygningsrelaterede friarealer, tag- og facadearealer i forhold til verdenshjørner</v>
      </c>
      <c r="D129" s="640"/>
      <c r="E129" s="640"/>
      <c r="F129" s="641"/>
    </row>
    <row r="130" spans="1:6" x14ac:dyDescent="0.45">
      <c r="A130" s="659"/>
      <c r="B130" s="661" t="str">
        <f>'DGNB matrice'!C123</f>
        <v>2.2</v>
      </c>
      <c r="C130" s="661" t="str">
        <f>'DGNB matrice'!D123</f>
        <v>Designkoncept for udendørs anlæg</v>
      </c>
      <c r="D130" s="640" t="str">
        <f>IF('Sortering af spørgsmål'!C18="Ikke relevant","-",IF('Sortering af spørgsmål'!C18="Vælg fra rullemenu:","Mangler svar",Arbejdsark!K239))</f>
        <v>Mangler svar</v>
      </c>
      <c r="E130" s="635" t="str">
        <f>IF('Sortering af spørgsmål'!C18="Ikke relevant","-",IF('Sortering af spørgsmål'!C18="Vælg fra rullemenu:","Mangler svar",Arbejdsark!N239))</f>
        <v>Mangler svar</v>
      </c>
      <c r="F130" s="642" t="str">
        <f>IF('Sortering af spørgsmål'!C18=Projektforudsætninger!$C$20,'Dialogpart 1'!K77,IF('Sortering af spørgsmål'!C18=Projektforudsætninger!$C$21,'Dialogpart 2'!K77,IF('Sortering af spørgsmål'!C18=Projektforudsætninger!$C$22,'Dialogpart 3'!K77,IF('Sortering af spørgsmål'!C18=Projektforudsætninger!$C$23,'Dialogpart 4'!K77,IF('Sortering af spørgsmål'!C18=Projektforudsætninger!$C$24,'Dialogpart 5'!K77,IF('Sortering af spørgsmål'!C18=Projektforudsætninger!$C$25,'Dialogpart 6'!K77,IF('Sortering af spørgsmål'!C18=Projektforudsætninger!$C$26,'Dialogpart 7'!K77,"")))))))</f>
        <v/>
      </c>
    </row>
    <row r="131" spans="1:6" x14ac:dyDescent="0.45">
      <c r="A131" s="659"/>
      <c r="B131" s="661" t="str">
        <f>'DGNB matrice'!C124</f>
        <v>2.3</v>
      </c>
      <c r="C131" s="661" t="str">
        <f>'DGNB matrice'!D124</f>
        <v>Beplantningstype på terræn, tag og facade</v>
      </c>
      <c r="D131" s="635" t="str">
        <f>IF('Sortering af spørgsmål'!C9="Ikke relevant","-",IF('Sortering af spørgsmål'!C9="Vælg fra rullemenu:","Mangler svar",Arbejdsark!K51))</f>
        <v>Mangler svar</v>
      </c>
      <c r="E131" s="635" t="str">
        <f>IF('Sortering af spørgsmål'!C9="Ikke relevant","-",IF('Sortering af spørgsmål'!C9="Vælg fra rullemenu:","Mangler svar",Arbejdsark!N51))</f>
        <v>Mangler svar</v>
      </c>
      <c r="F131" s="642" t="str">
        <f>IF('Sortering af spørgsmål'!C9=Projektforudsætninger!$C$20,'Dialogpart 1'!K21,IF('Sortering af spørgsmål'!C9=Projektforudsætninger!$C$21,'Dialogpart 2'!K21,IF('Sortering af spørgsmål'!C9=Projektforudsætninger!$C$22,'Dialogpart 3'!K21,IF('Sortering af spørgsmål'!C9=Projektforudsætninger!$C$23,'Dialogpart 4'!K21,IF('Sortering af spørgsmål'!C9=Projektforudsætninger!$C$24,'Dialogpart 5'!K21,IF('Sortering af spørgsmål'!C9=Projektforudsætninger!$C$25,'Dialogpart 6'!K21,IF('Sortering af spørgsmål'!C9=Projektforudsætninger!$C$26,'Dialogpart 7'!K21,"")))))))</f>
        <v/>
      </c>
    </row>
    <row r="132" spans="1:6" x14ac:dyDescent="0.45">
      <c r="A132" s="659"/>
      <c r="B132" s="661" t="str">
        <f>'DGNB matrice'!C125</f>
        <v>2.4</v>
      </c>
      <c r="C132" s="661" t="str">
        <f>'DGNB matrice'!D125</f>
        <v>Driftsaftale eller plejeplan for beplantningen</v>
      </c>
      <c r="D132" s="635" t="str">
        <f>IF('Sortering af spørgsmål'!C9="Ikke relevant","-",IF('Sortering af spørgsmål'!C9="Vælg fra rullemenu:","Mangler svar",Arbejdsark!K58))</f>
        <v>Mangler svar</v>
      </c>
      <c r="E132" s="635" t="str">
        <f>IF('Sortering af spørgsmål'!C9="Ikke relevant","-",IF('Sortering af spørgsmål'!C9="Vælg fra rullemenu:","Mangler svar",Arbejdsark!N58))</f>
        <v>Mangler svar</v>
      </c>
      <c r="F132" s="642" t="str">
        <f>IF('Sortering af spørgsmål'!C9=Projektforudsætninger!$C$20,'Dialogpart 1'!K22,IF('Sortering af spørgsmål'!C9=Projektforudsætninger!$C$21,'Dialogpart 2'!K22,IF('Sortering af spørgsmål'!C9=Projektforudsætninger!$C$22,'Dialogpart 3'!K22,IF('Sortering af spørgsmål'!C9=Projektforudsætninger!$C$23,'Dialogpart 4'!K22,IF('Sortering af spørgsmål'!C9=Projektforudsætninger!$C$24,'Dialogpart 5'!K22,IF('Sortering af spørgsmål'!C9=Projektforudsætninger!$C$25,'Dialogpart 6'!K22,IF('Sortering af spørgsmål'!C9=Projektforudsætninger!$C$26,'Dialogpart 7'!K22,"")))))))</f>
        <v/>
      </c>
    </row>
    <row r="133" spans="1:6" x14ac:dyDescent="0.45">
      <c r="A133" s="659"/>
      <c r="B133" s="661" t="str">
        <f>'DGNB matrice'!C126</f>
        <v>2.5</v>
      </c>
      <c r="C133" s="661" t="str">
        <f>'DGNB matrice'!D126</f>
        <v>Social anvendelse af udearealer</v>
      </c>
      <c r="D133" s="640" t="str">
        <f>IF('Sortering af spørgsmål'!C9="Ikke relevant","-",IF('Sortering af spørgsmål'!C9="Vælg fra rullemenu:","Mangler svar",Arbejdsark!K63))</f>
        <v>Mangler svar</v>
      </c>
      <c r="E133" s="640" t="str">
        <f>IF('Sortering af spørgsmål'!C9="Ikke relevant","-",IF('Sortering af spørgsmål'!C9="Vælg fra rullemenu:","Mangler svar",Arbejdsark!N63))</f>
        <v>Mangler svar</v>
      </c>
      <c r="F133" s="641" t="str">
        <f>IF(F135="","","Se kommentar under 'Kendetegn ved udearealernes indretningselementer'")</f>
        <v/>
      </c>
    </row>
    <row r="134" spans="1:6" x14ac:dyDescent="0.45">
      <c r="A134" s="659"/>
      <c r="B134" s="661" t="str">
        <f>'DGNB matrice'!C127</f>
        <v>2.6</v>
      </c>
      <c r="C134" s="661" t="str">
        <f>'DGNB matrice'!D127</f>
        <v>Koncept for forbedringer af mikroklimaet</v>
      </c>
      <c r="D134" s="640" t="str">
        <f>IF('Sortering af spørgsmål'!C18="Ikke relevant","-",IF('Sortering af spørgsmål'!C18="Vælg fra rullemenu:","Mangler svar",Arbejdsark!K239))</f>
        <v>Mangler svar</v>
      </c>
      <c r="E134" s="640" t="str">
        <f>IF('Sortering af spørgsmål'!C18="Ikke relevant","-",IF('Sortering af spørgsmål'!C18="Vælg fra rullemenu:","Mangler svar",Arbejdsark!N239))</f>
        <v>Mangler svar</v>
      </c>
      <c r="F134" s="641"/>
    </row>
    <row r="135" spans="1:6" ht="23.25" x14ac:dyDescent="0.45">
      <c r="A135" s="660"/>
      <c r="B135" s="661" t="str">
        <f>'DGNB matrice'!C128</f>
        <v>2.8</v>
      </c>
      <c r="C135" s="661" t="str">
        <f>'DGNB matrice'!D128</f>
        <v>Kendetegn ved udearealernes indretningselementer</v>
      </c>
      <c r="D135" s="635" t="str">
        <f>IF('Sortering af spørgsmål'!C9="Ikke relevant","-",IF('Sortering af spørgsmål'!C9="Vælg fra rullemenu:","Mangler svar",Arbejdsark!K63))</f>
        <v>Mangler svar</v>
      </c>
      <c r="E135" s="635" t="str">
        <f>IF('Sortering af spørgsmål'!C9="Ikke relevant","-",IF('Sortering af spørgsmål'!C9="Vælg fra rullemenu:","Mangler svar",Arbejdsark!N63))</f>
        <v>Mangler svar</v>
      </c>
      <c r="F135" s="642" t="str">
        <f>IF('Sortering af spørgsmål'!C9=Projektforudsætninger!$C$20,'Dialogpart 1'!K23,IF('Sortering af spørgsmål'!C9=Projektforudsætninger!$C$21,'Dialogpart 2'!K23,IF('Sortering af spørgsmål'!C9=Projektforudsætninger!$C$22,'Dialogpart 3'!K23,IF('Sortering af spørgsmål'!C9=Projektforudsætninger!$C$23,'Dialogpart 4'!K23,IF('Sortering af spørgsmål'!C9=Projektforudsætninger!$C$24,'Dialogpart 5'!K23,IF('Sortering af spørgsmål'!C9=Projektforudsætninger!$C$25,'Dialogpart 6'!K23,IF('Sortering af spørgsmål'!C9=Projektforudsætninger!$C$26,'Dialogpart 7'!K23,"")))))))</f>
        <v/>
      </c>
    </row>
    <row r="136" spans="1:6" x14ac:dyDescent="0.45">
      <c r="A136" s="654" t="str">
        <f>'DGNB matrice'!B129</f>
        <v>SOC1.7</v>
      </c>
      <c r="B136" s="654" t="str">
        <f>'DGNB matrice'!C129</f>
        <v>Tryghed og sikkerhed</v>
      </c>
      <c r="C136" s="655"/>
      <c r="D136" s="640"/>
      <c r="E136" s="640"/>
      <c r="F136" s="641"/>
    </row>
    <row r="137" spans="1:6" x14ac:dyDescent="0.45">
      <c r="A137" s="656"/>
      <c r="B137" s="661" t="str">
        <f>'DGNB matrice'!C130</f>
        <v>1.1</v>
      </c>
      <c r="C137" s="661" t="str">
        <f>'DGNB matrice'!D130</f>
        <v>Overskuelige veje og parkeringspladser</v>
      </c>
      <c r="D137" s="635" t="str">
        <f>IF('Sortering af spørgsmål'!C18="Ikke relevant","-",IF('Sortering af spørgsmål'!C18="Vælg fra rullemenu:","Mangler svar",Arbejdsark!K244))</f>
        <v>Mangler svar</v>
      </c>
      <c r="E137" s="635" t="str">
        <f>IF('Sortering af spørgsmål'!C18="Ikke relevant","-",IF('Sortering af spørgsmål'!C18="Vælg fra rullemenu:","Mangler svar",Arbejdsark!N244))</f>
        <v>Mangler svar</v>
      </c>
      <c r="F137" s="642" t="str">
        <f>IF('Sortering af spørgsmål'!C18=Projektforudsætninger!$C$20,'Dialogpart 1'!K78,IF('Sortering af spørgsmål'!C18=Projektforudsætninger!$C$21,'Dialogpart 2'!K78,IF('Sortering af spørgsmål'!C18=Projektforudsætninger!$C$22,'Dialogpart 3'!K78,IF('Sortering af spørgsmål'!C18=Projektforudsætninger!$C$23,'Dialogpart 4'!K78,IF('Sortering af spørgsmål'!C18=Projektforudsætninger!$C$24,'Dialogpart 5'!K78,IF('Sortering af spørgsmål'!C18=Projektforudsætninger!$C$25,'Dialogpart 6'!K78,IF('Sortering af spørgsmål'!C18=Projektforudsætninger!$C$26,'Dialogpart 7'!K78,"")))))))</f>
        <v/>
      </c>
    </row>
    <row r="138" spans="1:6" x14ac:dyDescent="0.45">
      <c r="A138" s="659"/>
      <c r="B138" s="661" t="str">
        <f>'DGNB matrice'!C131</f>
        <v>1.2</v>
      </c>
      <c r="C138" s="661" t="str">
        <f>'DGNB matrice'!D131</f>
        <v>Vejbelysning af adgangsveje og parkering</v>
      </c>
      <c r="D138" s="635" t="str">
        <f>IF('Sortering af spørgsmål'!C20="Ikke relevant","-",IF('Sortering af spørgsmål'!C20="Vælg fra rullemenu:","Mangler svar",Arbejdsark!K265))</f>
        <v>Mangler svar</v>
      </c>
      <c r="E138" s="635" t="str">
        <f>IF('Sortering af spørgsmål'!C20="Ikke relevant","-",IF('Sortering af spørgsmål'!C20="Vælg fra rullemenu:","Mangler svar",Arbejdsark!N265))</f>
        <v>Mangler svar</v>
      </c>
      <c r="F138" s="642" t="str">
        <f>IF('Sortering af spørgsmål'!C20=Projektforudsætninger!$C$20,'Dialogpart 1'!K86,IF('Sortering af spørgsmål'!C20=Projektforudsætninger!$C$21,'Dialogpart 2'!K86,IF('Sortering af spørgsmål'!C20=Projektforudsætninger!$C$22,'Dialogpart 3'!K86,IF('Sortering af spørgsmål'!C20=Projektforudsætninger!$C$23,'Dialogpart 4'!K86,IF('Sortering af spørgsmål'!C20=Projektforudsætninger!$C$24,'Dialogpart 5'!K86,IF('Sortering af spørgsmål'!C20=Projektforudsætninger!$C$25,'Dialogpart 6'!K86,IF('Sortering af spørgsmål'!C20=Projektforudsætninger!$C$26,'Dialogpart 7'!K86,"")))))))</f>
        <v/>
      </c>
    </row>
    <row r="139" spans="1:6" x14ac:dyDescent="0.45">
      <c r="A139" s="659"/>
      <c r="B139" s="661" t="str">
        <f>'DGNB matrice'!C132</f>
        <v>1.3</v>
      </c>
      <c r="C139" s="661" t="str">
        <f>'DGNB matrice'!D132</f>
        <v>Adgangsveje til cykelparkeringspladser</v>
      </c>
      <c r="D139" s="635" t="str">
        <f>IF('Sortering af spørgsmål'!C20="Ikke relevant","-",IF('Sortering af spørgsmål'!C20="Vælg fra rullemenu:","Mangler svar",Arbejdsark!K265))</f>
        <v>Mangler svar</v>
      </c>
      <c r="E139" s="635" t="str">
        <f>IF('Sortering af spørgsmål'!C20="Ikke relevant","-",IF('Sortering af spørgsmål'!C20="Vælg fra rullemenu:","Mangler svar",Arbejdsark!N265))</f>
        <v>Mangler svar</v>
      </c>
      <c r="F139" s="642" t="str">
        <f>IF(F138="","","Se under 'Vejbelysning af adgangsveje og parkering'")</f>
        <v/>
      </c>
    </row>
    <row r="140" spans="1:6" x14ac:dyDescent="0.45">
      <c r="A140" s="659"/>
      <c r="B140" s="661" t="str">
        <f>'DGNB matrice'!C133</f>
        <v>1.4</v>
      </c>
      <c r="C140" s="661" t="str">
        <f>'DGNB matrice'!D133</f>
        <v>Stier og opholdsaraler</v>
      </c>
      <c r="D140" s="640" t="str">
        <f>IF('Sortering af spørgsmål'!C20="Ikke relevant","-",IF('Sortering af spørgsmål'!C20="Vælg fra rullemenu:","Mangler svar",Arbejdsark!K265))</f>
        <v>Mangler svar</v>
      </c>
      <c r="E140" s="640" t="str">
        <f>IF('Sortering af spørgsmål'!C20="Ikke relevant","-",IF('Sortering af spørgsmål'!C20="Vælg fra rullemenu:","Mangler svar",Arbejdsark!N265))</f>
        <v>Mangler svar</v>
      </c>
      <c r="F140" s="641" t="str">
        <f>IF(F138="","","Se under 'Vejbelysning af adgangsveje og parkering'")</f>
        <v/>
      </c>
    </row>
    <row r="141" spans="1:6" x14ac:dyDescent="0.45">
      <c r="A141" s="659"/>
      <c r="B141" s="661" t="str">
        <f>'DGNB matrice'!C134</f>
        <v>1.5</v>
      </c>
      <c r="C141" s="661" t="str">
        <f>'DGNB matrice'!D134</f>
        <v>Åbenhed og overblik</v>
      </c>
      <c r="D141" s="635" t="str">
        <f>IF('Sortering af spørgsmål'!C18="Ikke relevant","-",IF('Sortering af spørgsmål'!C18="Vælg fra rullemenu:","Mangler svar",Arbejdsark!K244))</f>
        <v>Mangler svar</v>
      </c>
      <c r="E141" s="635" t="str">
        <f>IF('Sortering af spørgsmål'!C18="Ikke relevant","-",IF('Sortering af spørgsmål'!C18="Vælg fra rullemenu:","Mangler svar",Arbejdsark!N244))</f>
        <v>Mangler svar</v>
      </c>
      <c r="F141" s="642" t="str">
        <f>IF(F137="","","Se kommentar under 'Overskuelige veje'")</f>
        <v/>
      </c>
    </row>
    <row r="142" spans="1:6" x14ac:dyDescent="0.45">
      <c r="A142" s="654" t="str">
        <f>'DGNB matrice'!B135</f>
        <v>SOC2.1</v>
      </c>
      <c r="B142" s="654" t="str">
        <f>'DGNB matrice'!C135</f>
        <v>Tilgængelighed</v>
      </c>
      <c r="C142" s="655"/>
      <c r="D142" s="320" t="str">
        <f>IF('Sortering af spørgsmål'!C17="Ikke relevant","-",IF('Sortering af spørgsmål'!C17="Vælg fra rullemenu:","Mangler svar",Arbejdsark!K234))</f>
        <v>Mangler svar</v>
      </c>
      <c r="E142" s="320" t="str">
        <f>IF('Sortering af spørgsmål'!C17="Ikke relevant","-",IF('Sortering af spørgsmål'!C17="Vælg fra rullemenu:","Mangler svar",Arbejdsark!N234))</f>
        <v>Mangler svar</v>
      </c>
      <c r="F142" s="642" t="str">
        <f>IF('Sortering af spørgsmål'!C17=Projektforudsætninger!$C$20,'Dialogpart 1'!K73,IF('Sortering af spørgsmål'!C17=Projektforudsætninger!$C$21,'Dialogpart 2'!K73,IF('Sortering af spørgsmål'!C17=Projektforudsætninger!$C$22,'Dialogpart 3'!K73,IF('Sortering af spørgsmål'!C17=Projektforudsætninger!$C$23,'Dialogpart 4'!K73,IF('Sortering af spørgsmål'!C17=Projektforudsætninger!$C$24,'Dialogpart 5'!K73,IF('Sortering af spørgsmål'!C17=Projektforudsætninger!$C$25,'Dialogpart 6'!K73,IF('Sortering af spørgsmål'!C17=Projektforudsætninger!$C$26,'Dialogpart 7'!K73,"")))))))</f>
        <v/>
      </c>
    </row>
    <row r="143" spans="1:6" x14ac:dyDescent="0.45">
      <c r="A143" s="662"/>
      <c r="B143" s="671"/>
      <c r="C143" s="665"/>
      <c r="D143" s="635" t="str">
        <f>IF('Sortering af spørgsmål'!C17="Ikke relevant","-",IF('Sortering af spørgsmål'!C17="Vælg fra rullemenu:","Mangler svar",Arbejdsark!#REF!))</f>
        <v>Mangler svar</v>
      </c>
      <c r="E143" s="635" t="str">
        <f>IF('Sortering af spørgsmål'!C17="Ikke relevant","-",IF('Sortering af spørgsmål'!C17="Vælg fra rullemenu:","Mangler svar",Arbejdsark!#REF!))</f>
        <v>Mangler svar</v>
      </c>
      <c r="F143" s="642" t="str">
        <f>IF('Sortering af spørgsmål'!C17=Projektforudsætninger!$C$20,'Dialogpart 1'!K74,IF('Sortering af spørgsmål'!C17=Projektforudsætninger!$C$21,'Dialogpart 2'!K74,IF('Sortering af spørgsmål'!C17=Projektforudsætninger!$C$22,'Dialogpart 3'!K74,IF('Sortering af spørgsmål'!C17=Projektforudsætninger!$C$23,'Dialogpart 4'!K74,IF('Sortering af spørgsmål'!C17=Projektforudsætninger!$C$24,'Dialogpart 5'!K74,IF('Sortering af spørgsmål'!C17=Projektforudsætninger!$C$25,'Dialogpart 6'!K74,IF('Sortering af spørgsmål'!C17=Projektforudsætninger!$C$26,'Dialogpart 7'!K74,"")))))))</f>
        <v/>
      </c>
    </row>
    <row r="144" spans="1:6" x14ac:dyDescent="0.45">
      <c r="A144" s="654" t="str">
        <f>'DGNB matrice'!B136</f>
        <v>SOC2.3</v>
      </c>
      <c r="B144" s="654" t="str">
        <f>'DGNB matrice'!C136</f>
        <v>Forhold for cyklister</v>
      </c>
      <c r="C144" s="655"/>
      <c r="D144" s="640"/>
      <c r="E144" s="640"/>
      <c r="F144" s="641"/>
    </row>
    <row r="145" spans="1:6" ht="23.25" x14ac:dyDescent="0.45">
      <c r="A145" s="656"/>
      <c r="B145" s="661" t="str">
        <f>'DGNB matrice'!C137</f>
        <v>1.1</v>
      </c>
      <c r="C145" s="661" t="str">
        <f>'DGNB matrice'!D137</f>
        <v>Cykelparkeringspladsernes antal og indretningsprincip</v>
      </c>
      <c r="D145" s="635" t="str">
        <f>IF('Sortering af spørgsmål'!C19="Ikke relevant","-",IF('Sortering af spørgsmål'!C19="Vælg fra rullemenu:","Mangler svar",Arbejdsark!K260))</f>
        <v>Mangler svar</v>
      </c>
      <c r="E145" s="635" t="str">
        <f>IF('Sortering af spørgsmål'!C19="Ikke relevant","-",IF('Sortering af spørgsmål'!C19="Vælg fra rullemenu:","Mangler svar",Arbejdsark!N260))</f>
        <v>Mangler svar</v>
      </c>
      <c r="F145" s="642" t="str">
        <f>IF('Sortering af spørgsmål'!C19=Projektforudsætninger!$C$20,'Dialogpart 1'!K83,IF('Sortering af spørgsmål'!C19=Projektforudsætninger!$C$21,'Dialogpart 2'!K83,IF('Sortering af spørgsmål'!C19=Projektforudsætninger!$C$22,'Dialogpart 3'!K83,IF('Sortering af spørgsmål'!C19=Projektforudsætninger!$C$23,'Dialogpart 4'!K83,IF('Sortering af spørgsmål'!C19=Projektforudsætninger!$C$24,'Dialogpart 5'!K83,IF('Sortering af spørgsmål'!C19=Projektforudsætninger!$C$25,'Dialogpart 6'!K83,IF('Sortering af spørgsmål'!C19=Projektforudsætninger!$C$26,'Dialogpart 7'!K83,"")))))))</f>
        <v/>
      </c>
    </row>
    <row r="146" spans="1:6" x14ac:dyDescent="0.45">
      <c r="A146" s="659"/>
      <c r="B146" s="661" t="str">
        <f>'DGNB matrice'!C138</f>
        <v>1.2.1</v>
      </c>
      <c r="C146" s="661" t="str">
        <f>'DGNB matrice'!D138</f>
        <v>Cykelparkeringspladsernes placering</v>
      </c>
      <c r="D146" s="635" t="str">
        <f>IF('Sortering af spørgsmål'!C19="Ikke relevant","-",IF('Sortering af spørgsmål'!C19="Vælg fra rullemenu:","Mangler svar",Arbejdsark!K255))</f>
        <v>Mangler svar</v>
      </c>
      <c r="E146" s="635" t="str">
        <f>IF('Sortering af spørgsmål'!C19="Ikke relevant","-",IF('Sortering af spørgsmål'!C19="Vælg fra rullemenu:","Mangler svar",Arbejdsark!N255))</f>
        <v>Mangler svar</v>
      </c>
      <c r="F146" s="642" t="str">
        <f>IF('Sortering af spørgsmål'!C19=Projektforudsætninger!$C$20,'Dialogpart 1'!K82,IF('Sortering af spørgsmål'!C19=Projektforudsætninger!$C$21,'Dialogpart 2'!K82,IF('Sortering af spørgsmål'!C19=Projektforudsætninger!$C$22,'Dialogpart 3'!K82,IF('Sortering af spørgsmål'!C19=Projektforudsætninger!$C$23,'Dialogpart 4'!K82,IF('Sortering af spørgsmål'!C19=Projektforudsætninger!$C$24,'Dialogpart 5'!K82,IF('Sortering af spørgsmål'!C19=Projektforudsætninger!$C$25,'Dialogpart 6'!K82,IF('Sortering af spørgsmål'!C19=Projektforudsætninger!$C$26,'Dialogpart 7'!K82,"")))))))</f>
        <v/>
      </c>
    </row>
    <row r="147" spans="1:6" ht="23.25" x14ac:dyDescent="0.45">
      <c r="A147" s="659"/>
      <c r="B147" s="661" t="str">
        <f>'DGNB matrice'!C139</f>
        <v>1.2.2</v>
      </c>
      <c r="C147" s="661" t="str">
        <f>'DGNB matrice'!D139</f>
        <v>Cykelparkeringspladsernes afstand i forhold til hovedindgangen/indgange</v>
      </c>
      <c r="D147" s="640" t="str">
        <f>IF('Sortering af spørgsmål'!C19="Ikke relevant","-",IF('Sortering af spørgsmål'!C19="Vælg fra rullemenu:","Mangler svar",Arbejdsark!K255))</f>
        <v>Mangler svar</v>
      </c>
      <c r="E147" s="640" t="str">
        <f>IF('Sortering af spørgsmål'!C19="Ikke relevant","-",IF('Sortering af spørgsmål'!C19="Vælg fra rullemenu:","Mangler svar",Arbejdsark!N255))</f>
        <v>Mangler svar</v>
      </c>
      <c r="F147" s="641" t="str">
        <f>IF(F146="","","Se kommentar under 'Cykelparkeringspladsernes placering'")</f>
        <v/>
      </c>
    </row>
    <row r="148" spans="1:6" x14ac:dyDescent="0.45">
      <c r="A148" s="660"/>
      <c r="B148" s="661" t="str">
        <f>'DGNB matrice'!C140</f>
        <v>1.3</v>
      </c>
      <c r="C148" s="661" t="str">
        <f>'DGNB matrice'!D140</f>
        <v>Cykelparkeringspladsernes indretningsniveau</v>
      </c>
      <c r="D148" s="635" t="str">
        <f>IF('Sortering af spørgsmål'!C19="Ikke relevant","-",IF('Sortering af spørgsmål'!C19="Vælg fra rullemenu:","Mangler svar",Arbejdsark!K250))</f>
        <v>Mangler svar</v>
      </c>
      <c r="E148" s="635" t="str">
        <f>IF('Sortering af spørgsmål'!C19="Ikke relevant","-",IF('Sortering af spørgsmål'!C19="Vælg fra rullemenu:","Mangler svar",Arbejdsark!N250))</f>
        <v>Mangler svar</v>
      </c>
      <c r="F148" s="642" t="str">
        <f>IF('Sortering af spørgsmål'!C19=Projektforudsætninger!$C$20,'Dialogpart 1'!K81,IF('Sortering af spørgsmål'!C19=Projektforudsætninger!$C$21,'Dialogpart 2'!K81,IF('Sortering af spørgsmål'!C19=Projektforudsætninger!$C$22,'Dialogpart 3'!K81,IF('Sortering af spørgsmål'!C19=Projektforudsætninger!$C$23,'Dialogpart 4'!K81,IF('Sortering af spørgsmål'!C19=Projektforudsætninger!$C$24,'Dialogpart 5'!K81,IF('Sortering af spørgsmål'!C19=Projektforudsætninger!$C$25,'Dialogpart 6'!K81,IF('Sortering af spørgsmål'!C19=Projektforudsætninger!$C$26,'Dialogpart 7'!K81,"")))))))</f>
        <v/>
      </c>
    </row>
    <row r="149" spans="1:6" ht="23.25" x14ac:dyDescent="0.45">
      <c r="A149" s="654" t="str">
        <f>'DGNB matrice'!B141</f>
        <v>SOC3.1</v>
      </c>
      <c r="B149" s="654" t="str">
        <f>'DGNB matrice'!C141</f>
        <v>Tiltag til at sikre arkitektonisk kvalitet</v>
      </c>
      <c r="C149" s="655"/>
      <c r="D149" s="635" t="str">
        <f>IF('Sortering af spørgsmål'!C21="Ikke relevant","-",IF('Sortering af spørgsmål'!C21="Vælg fra rullemenu:","Mangler svar",Arbejdsark!K279))</f>
        <v>Mangler svar</v>
      </c>
      <c r="E149" s="635" t="str">
        <f>IF('Sortering af spørgsmål'!C21="Ikke relevant","-",IF('Sortering af spørgsmål'!C21="Vælg fra rullemenu:","Mangler svar",Arbejdsark!N279))</f>
        <v>Mangler svar</v>
      </c>
      <c r="F149" s="642" t="str">
        <f>IF(Projektforudsætninger!D40="","",Projektforudsætninger!D40)</f>
        <v/>
      </c>
    </row>
    <row r="150" spans="1:6" x14ac:dyDescent="0.45">
      <c r="A150" s="656"/>
      <c r="B150" s="661" t="str">
        <f>'DGNB matrice'!C142</f>
        <v>1.1</v>
      </c>
      <c r="C150" s="661" t="str">
        <f>'DGNB matrice'!D142</f>
        <v>Gennemførelse af en arkitektkonkurrence</v>
      </c>
      <c r="D150" s="640" t="str">
        <f>IF(Projektforudsætninger!C40="Arkitektkonkurrence","-","Ikke relevant")</f>
        <v>Ikke relevant</v>
      </c>
      <c r="E150" s="640"/>
      <c r="F150" s="641"/>
    </row>
    <row r="151" spans="1:6" x14ac:dyDescent="0.45">
      <c r="A151" s="659"/>
      <c r="B151" s="661" t="str">
        <f>'DGNB matrice'!C143</f>
        <v>1.2</v>
      </c>
      <c r="C151" s="661" t="str">
        <f>'DGNB matrice'!D143</f>
        <v>Konkurrenceproces</v>
      </c>
      <c r="D151" s="635" t="str">
        <f>IF(Projektforudsætninger!C40="Arkitektkonkurrence",Arbejdsark!K285,"Ikke relevant")</f>
        <v>Ikke relevant</v>
      </c>
      <c r="E151" s="635" t="str">
        <f>IF(Projektforudsætninger!C40="Arkitektkonkurrence",Arbejdsark!N285,"")</f>
        <v/>
      </c>
      <c r="F151" s="642" t="str">
        <f>IF(Projektforudsætninger!C40="Arkitektkonkurrence",Projektforudsætninger!D40,"")</f>
        <v/>
      </c>
    </row>
    <row r="152" spans="1:6" x14ac:dyDescent="0.45">
      <c r="A152" s="659"/>
      <c r="B152" s="661" t="str">
        <f>'DGNB matrice'!C144</f>
        <v>1.3</v>
      </c>
      <c r="C152" s="661" t="str">
        <f>'DGNB matrice'!D144</f>
        <v>Implementering af det vindende projekt</v>
      </c>
      <c r="D152" s="640" t="str">
        <f>IF(Projektforudsætninger!C40="Arkitektkonkurrence","","Ikke relevant")</f>
        <v>Ikke relevant</v>
      </c>
      <c r="E152" s="640"/>
      <c r="F152" s="641"/>
    </row>
    <row r="153" spans="1:6" x14ac:dyDescent="0.45">
      <c r="A153" s="659"/>
      <c r="B153" s="661" t="str">
        <f>'DGNB matrice'!C145</f>
        <v>1.4</v>
      </c>
      <c r="C153" s="661" t="str">
        <f>'DGNB matrice'!D145</f>
        <v>Udpegning af designteamet</v>
      </c>
      <c r="D153" s="640" t="str">
        <f>IF(Projektforudsætninger!C40="Arkitektkonkurrence","","Ikke relevant")</f>
        <v>Ikke relevant</v>
      </c>
      <c r="E153" s="640"/>
      <c r="F153" s="641"/>
    </row>
    <row r="154" spans="1:6" ht="23.25" x14ac:dyDescent="0.45">
      <c r="A154" s="659"/>
      <c r="B154" s="661" t="str">
        <f>'DGNB matrice'!C146</f>
        <v>2.1</v>
      </c>
      <c r="C154" s="661" t="str">
        <f>'DGNB matrice'!D146</f>
        <v>Gennemførelse af en totalentreprisekonkurrence</v>
      </c>
      <c r="D154" s="640" t="str">
        <f>IF(Projektforudsætninger!C40="Totalentreprisekonkurrence eller OPP leverance","-","Ikke relevant")</f>
        <v>Ikke relevant</v>
      </c>
      <c r="E154" s="640"/>
      <c r="F154" s="641"/>
    </row>
    <row r="155" spans="1:6" ht="92.25" customHeight="1" x14ac:dyDescent="0.45">
      <c r="A155" s="659"/>
      <c r="B155" s="661" t="str">
        <f>'DGNB matrice'!C147</f>
        <v>2.2</v>
      </c>
      <c r="C155" s="661" t="str">
        <f>'DGNB matrice'!D147</f>
        <v>Vægtning af arkitektonisk kvalitet</v>
      </c>
      <c r="D155" s="635" t="str">
        <f>IF(Projektforudsætninger!C40="Totalentreprisekonkurrence eller OPP leverance",Arbejdsark!K294,"Ikke relevant")</f>
        <v>Ikke relevant</v>
      </c>
      <c r="E155" s="635" t="str">
        <f>IF(Projektforudsætninger!C40="Totalentreprisekonkurrence eller OPP leverance",Arbejdsark!N294,"")</f>
        <v/>
      </c>
      <c r="F155" s="642" t="str">
        <f>IF(Projektforudsætninger!C40="Totalentreprisekonkurrence eller OPP leverance",IF('Sortering af spørgsmål'!C21=Projektforudsætninger!$C$20,'Dialogpart 1'!K91,IF('Sortering af spørgsmål'!C21=Projektforudsætninger!$C$21,'Dialogpart 2'!K91,IF('Sortering af spørgsmål'!C21=Projektforudsætninger!$C$22,'Dialogpart 3'!K91,IF('Sortering af spørgsmål'!C21=Projektforudsætninger!$C$23,'Dialogpart 4'!K91,IF('Sortering af spørgsmål'!C21=Projektforudsætninger!$C$24,'Dialogpart 5'!K91,IF('Sortering af spørgsmål'!C21=Projektforudsætninger!$C$25,'Dialogpart 6'!K91,IF('Sortering af spørgsmål'!C21=Projektforudsætninger!$C$26,'Dialogpart 7'!K91,""))))))),"")</f>
        <v/>
      </c>
    </row>
    <row r="156" spans="1:6" ht="128.25" customHeight="1" x14ac:dyDescent="0.45">
      <c r="A156" s="659"/>
      <c r="B156" s="661" t="str">
        <f>'DGNB matrice'!C148</f>
        <v>2.3</v>
      </c>
      <c r="C156" s="661" t="str">
        <f>'DGNB matrice'!D148</f>
        <v>Mulighed for variation i løsningsforslag</v>
      </c>
      <c r="D156" s="635" t="str">
        <f>IF(Projektforudsætninger!C40="Totalentreprisekonkurrence eller OPP leverance",Arbejdsark!K289,"Ikke relevant")</f>
        <v>Ikke relevant</v>
      </c>
      <c r="E156" s="635" t="str">
        <f>IF(Projektforudsætninger!C40="Totalentreprisekonkurrence eller OPP leverance",Arbejdsark!N289,"")</f>
        <v/>
      </c>
      <c r="F156" s="642" t="str">
        <f>IF(Projektforudsætninger!C40="Totalentreprisekonkurrence eller OPP leverance",IF('Sortering af spørgsmål'!C21=Projektforudsætninger!$C$20,'Dialogpart 1'!K90,IF('Sortering af spørgsmål'!C21=Projektforudsætninger!$C$21,'Dialogpart 2'!K90,IF('Sortering af spørgsmål'!C21=Projektforudsætninger!$C$22,'Dialogpart 3'!K90,IF('Sortering af spørgsmål'!C21=Projektforudsætninger!$C$23,'Dialogpart 4'!K90,IF('Sortering af spørgsmål'!C21=Projektforudsætninger!$C$24,'Dialogpart 5'!K90,IF('Sortering af spørgsmål'!C21=Projektforudsætninger!$C$25,'Dialogpart 6'!K90,IF('Sortering af spørgsmål'!C21=Projektforudsætninger!$C$26,'Dialogpart 7'!K90,""))))))),"")</f>
        <v/>
      </c>
    </row>
    <row r="157" spans="1:6" x14ac:dyDescent="0.45">
      <c r="A157" s="659"/>
      <c r="B157" s="661" t="str">
        <f>'DGNB matrice'!C149</f>
        <v xml:space="preserve">3. </v>
      </c>
      <c r="C157" s="661" t="str">
        <f>'DGNB matrice'!D149</f>
        <v>Jurybedømmelse</v>
      </c>
      <c r="D157" s="640" t="str">
        <f>IF(Projektforudsætninger!C40="Jurybedømmelse/ekspertudvalg","","Ikke relevant")</f>
        <v>Ikke relevant</v>
      </c>
      <c r="E157" s="640"/>
      <c r="F157" s="641"/>
    </row>
    <row r="158" spans="1:6" x14ac:dyDescent="0.45">
      <c r="A158" s="660"/>
      <c r="B158" s="661" t="str">
        <f>'DGNB matrice'!C150</f>
        <v>4.</v>
      </c>
      <c r="C158" s="661" t="str">
        <f>'DGNB matrice'!D150</f>
        <v>Forudgående variantundersøgelse</v>
      </c>
      <c r="D158" s="640" t="str">
        <f>IF(Projektforudsætninger!C40="Jurybedømmelse/ekspertudvalg","","Ikke relevant")</f>
        <v>Ikke relevant</v>
      </c>
      <c r="E158" s="640"/>
      <c r="F158" s="641"/>
    </row>
    <row r="159" spans="1:6" x14ac:dyDescent="0.45">
      <c r="A159" s="654" t="str">
        <f>'DGNB matrice'!B151</f>
        <v>SOC3.3</v>
      </c>
      <c r="B159" s="654" t="str">
        <f>'DGNB matrice'!C151</f>
        <v>Plandisponering</v>
      </c>
      <c r="C159" s="655"/>
      <c r="D159" s="640"/>
      <c r="E159" s="640"/>
      <c r="F159" s="641"/>
    </row>
    <row r="160" spans="1:6" ht="23.25" x14ac:dyDescent="0.45">
      <c r="A160" s="656"/>
      <c r="B160" s="661" t="str">
        <f>'DGNB matrice'!C152</f>
        <v>1.1</v>
      </c>
      <c r="C160" s="661" t="str">
        <f>'DGNB matrice'!D152</f>
        <v>Bygningstypens mulighed for differentieret anvendelse</v>
      </c>
      <c r="D160" s="635" t="str">
        <f>IF('Sortering af spørgsmål'!C22="Ikke relevant","-",IF('Sortering af spørgsmål'!C22="Vælg fra rullemenu:","Mangler svar",Arbejdsark!K300))</f>
        <v>Mangler svar</v>
      </c>
      <c r="E160" s="635" t="str">
        <f>IF('Sortering af spørgsmål'!C22="Ikke relevant","-",IF('Sortering af spørgsmål'!C22="Vælg fra rullemenu:","Mangler svar",Arbejdsark!N300))</f>
        <v>Mangler svar</v>
      </c>
      <c r="F160" s="642" t="str">
        <f>IF('Sortering af spørgsmål'!C22=Projektforudsætninger!$C$20,'Dialogpart 1'!K94,IF('Sortering af spørgsmål'!C22=Projektforudsætninger!$C$21,'Dialogpart 2'!K94,IF('Sortering af spørgsmål'!C22=Projektforudsætninger!$C$22,'Dialogpart 3'!K94,IF('Sortering af spørgsmål'!C22=Projektforudsætninger!$C$23,'Dialogpart 4'!K94,IF('Sortering af spørgsmål'!C22=Projektforudsætninger!$C$24,'Dialogpart 5'!K94,IF('Sortering af spørgsmål'!C22=Projektforudsætninger!$C$25,'Dialogpart 6'!K94,IF('Sortering af spørgsmål'!C22=Projektforudsætninger!$C$26,'Dialogpart 7'!K94,"")))))))</f>
        <v/>
      </c>
    </row>
    <row r="161" spans="1:6" ht="23.25" x14ac:dyDescent="0.45">
      <c r="A161" s="659"/>
      <c r="B161" s="661" t="str">
        <f>'DGNB matrice'!C153</f>
        <v>1.2.1</v>
      </c>
      <c r="C161" s="661" t="str">
        <f>'DGNB matrice'!D153</f>
        <v>Fælles opholdsarealer og mødesteder inde i bygningen</v>
      </c>
      <c r="D161" s="635" t="str">
        <f>IF('Sortering af spørgsmål'!C22="Ikke relevant","-",IF('Sortering af spørgsmål'!C22="Vælg fra rullemenu:","Mangler svar",Arbejdsark!K306))</f>
        <v>Mangler svar</v>
      </c>
      <c r="E161" s="635" t="str">
        <f>IF('Sortering af spørgsmål'!C22="Ikke relevant","-",IF('Sortering af spørgsmål'!C22="Vælg fra rullemenu:","Mangler svar",Arbejdsark!N306))</f>
        <v>Mangler svar</v>
      </c>
      <c r="F161" s="642" t="str">
        <f>IF('Sortering af spørgsmål'!C22=Projektforudsætninger!$C$20,'Dialogpart 1'!K95,IF('Sortering af spørgsmål'!C22=Projektforudsætninger!$C$21,'Dialogpart 2'!K95,IF('Sortering af spørgsmål'!C22=Projektforudsætninger!$C$22,'Dialogpart 3'!K95,IF('Sortering af spørgsmål'!C22=Projektforudsætninger!$C$23,'Dialogpart 4'!K95,IF('Sortering af spørgsmål'!C22=Projektforudsætninger!$C$24,'Dialogpart 5'!K95,IF('Sortering af spørgsmål'!C22=Projektforudsætninger!$C$25,'Dialogpart 6'!K95,IF('Sortering af spørgsmål'!C22=Projektforudsætninger!$C$26,'Dialogpart 7'!K95,"")))))))</f>
        <v/>
      </c>
    </row>
    <row r="162" spans="1:6" ht="23.25" x14ac:dyDescent="0.45">
      <c r="A162" s="659"/>
      <c r="B162" s="661" t="str">
        <f>'DGNB matrice'!C154</f>
        <v>1.2.2</v>
      </c>
      <c r="C162" s="661" t="str">
        <f>'DGNB matrice'!D154</f>
        <v>Fleksible og varierede anvendelsesmuligheder af fællesområder og kommunikationszoner</v>
      </c>
      <c r="D162" s="640"/>
      <c r="E162" s="640"/>
      <c r="F162" s="641"/>
    </row>
    <row r="163" spans="1:6" x14ac:dyDescent="0.45">
      <c r="A163" s="659"/>
      <c r="B163" s="661" t="str">
        <f>'DGNB matrice'!C155</f>
        <v>1.2.3</v>
      </c>
      <c r="C163" s="661" t="str">
        <f>'DGNB matrice'!D155</f>
        <v>Supplerende tilbud til brugerne</v>
      </c>
      <c r="D163" s="635" t="str">
        <f>IF('Sortering af spørgsmål'!C22="Ikke relevant","-",IF('Sortering af spørgsmål'!C22="Vælg fra rullemenu:","Mangler svar",Arbejdsark!K316))</f>
        <v>Mangler svar</v>
      </c>
      <c r="E163" s="635" t="str">
        <f>IF('Sortering af spørgsmål'!C22="Ikke relevant","-",IF('Sortering af spørgsmål'!C22="Vælg fra rullemenu:","Mangler svar",Arbejdsark!N316))</f>
        <v>Mangler svar</v>
      </c>
      <c r="F163" s="642" t="str">
        <f>IF('Sortering af spørgsmål'!C22=Projektforudsætninger!$C$20,'Dialogpart 1'!K97,IF('Sortering af spørgsmål'!C22=Projektforudsætninger!$C$21,'Dialogpart 2'!K97,IF('Sortering af spørgsmål'!C22=Projektforudsætninger!$C$22,'Dialogpart 3'!K97,IF('Sortering af spørgsmål'!C22=Projektforudsætninger!$C$23,'Dialogpart 4'!K97,IF('Sortering af spørgsmål'!C22=Projektforudsætninger!$C$24,'Dialogpart 5'!K97,IF('Sortering af spørgsmål'!C22=Projektforudsætninger!$C$25,'Dialogpart 6'!K97,IF('Sortering af spørgsmål'!C22=Projektforudsætninger!$C$26,'Dialogpart 7'!K97,"")))))))</f>
        <v/>
      </c>
    </row>
    <row r="164" spans="1:6" x14ac:dyDescent="0.45">
      <c r="A164" s="662"/>
      <c r="B164" s="663"/>
      <c r="C164" s="664"/>
      <c r="D164" s="635" t="str">
        <f>IF('Sortering af spørgsmål'!C22="Ikke relevant","-",IF('Sortering af spørgsmål'!C22="Vælg fra rullemenu:","Mangler svar",Arbejdsark!K321))</f>
        <v>Mangler svar</v>
      </c>
      <c r="E164" s="635" t="str">
        <f>IF('Sortering af spørgsmål'!C22="Ikke relevant","-",IF('Sortering af spørgsmål'!C22="Vælg fra rullemenu:","Mangler svar",Arbejdsark!N321))</f>
        <v>Mangler svar</v>
      </c>
      <c r="F164" s="642" t="str">
        <f>IF('Sortering af spørgsmål'!C22=Projektforudsætninger!$C$20,'Dialogpart 1'!K98,IF('Sortering af spørgsmål'!C22=Projektforudsætninger!$C$21,'Dialogpart 2'!K98,IF('Sortering af spørgsmål'!C22=Projektforudsætninger!$C$22,'Dialogpart 3'!K98,IF('Sortering af spørgsmål'!C22=Projektforudsætninger!$C$23,'Dialogpart 4'!K98,IF('Sortering af spørgsmål'!C22=Projektforudsætninger!$C$24,'Dialogpart 5'!K98,IF('Sortering af spørgsmål'!C22=Projektforudsætninger!$C$25,'Dialogpart 6'!K98,IF('Sortering af spørgsmål'!C22=Projektforudsætninger!$C$26,'Dialogpart 7'!K98,"")))))))</f>
        <v/>
      </c>
    </row>
    <row r="165" spans="1:6" ht="24" x14ac:dyDescent="0.45">
      <c r="A165" s="659"/>
      <c r="B165" s="665" t="str">
        <f>'DGNB matrice'!C156</f>
        <v>2.1</v>
      </c>
      <c r="C165" s="665" t="str">
        <f>'DGNB matrice'!D156</f>
        <v>Indretning af boligen i fælles og individuelle områder</v>
      </c>
      <c r="D165" s="635" t="str">
        <f>IF('Sortering af spørgsmål'!C22="Ikke relevant","-",IF('Sortering af spørgsmål'!C22="Vælg fra rullemenu:","Mangler svar",Arbejdsark!K331))</f>
        <v>Mangler svar</v>
      </c>
      <c r="E165" s="635" t="str">
        <f>IF('Sortering af spørgsmål'!C22="Ikke relevant","-",IF('Sortering af spørgsmål'!C22="Vælg fra rullemenu:","Mangler svar",Arbejdsark!N331))</f>
        <v>Mangler svar</v>
      </c>
      <c r="F165" s="642" t="str">
        <f>IF('Sortering af spørgsmål'!C22=Projektforudsætninger!$C$20,'Dialogpart 1'!K100,IF('Sortering af spørgsmål'!C22=Projektforudsætninger!$C$21,'Dialogpart 2'!K100,IF('Sortering af spørgsmål'!C22=Projektforudsætninger!$C$22,'Dialogpart 3'!K100,IF('Sortering af spørgsmål'!C22=Projektforudsætninger!$C$23,'Dialogpart 4'!K100,IF('Sortering af spørgsmål'!C22=Projektforudsætninger!$C$24,'Dialogpart 5'!K100,IF('Sortering af spørgsmål'!C22=Projektforudsætninger!$C$25,'Dialogpart 6'!K100,IF('Sortering af spørgsmål'!C22=Projektforudsætninger!$C$26,'Dialogpart 7'!K100,"")))))))</f>
        <v/>
      </c>
    </row>
    <row r="166" spans="1:6" ht="24" x14ac:dyDescent="0.45">
      <c r="A166" s="659"/>
      <c r="B166" s="665" t="str">
        <f>'DGNB matrice'!C157</f>
        <v>2.1.1</v>
      </c>
      <c r="C166" s="665" t="str">
        <f>'DGNB matrice'!D157</f>
        <v>Boligens fleksibilitet vedr. disponering af toilet- og baderum</v>
      </c>
      <c r="D166" s="635" t="str">
        <f>IF('Sortering af spørgsmål'!C22="Ikke relevant","-",IF('Sortering af spørgsmål'!C22="Vælg fra rullemenu:","Mangler svar",Arbejdsark!K336))</f>
        <v>Mangler svar</v>
      </c>
      <c r="E166" s="635" t="str">
        <f>IF('Sortering af spørgsmål'!C22="Ikke relevant","-",IF('Sortering af spørgsmål'!C22="Vælg fra rullemenu:","Mangler svar",Arbejdsark!N336))</f>
        <v>Mangler svar</v>
      </c>
      <c r="F166" s="642" t="str">
        <f>IF('Sortering af spørgsmål'!C22=Projektforudsætninger!$C$20,'Dialogpart 1'!K101,IF('Sortering af spørgsmål'!C22=Projektforudsætninger!$C$21,'Dialogpart 2'!K101,IF('Sortering af spørgsmål'!C22=Projektforudsætninger!$C$22,'Dialogpart 3'!K101,IF('Sortering af spørgsmål'!C22=Projektforudsætninger!$C$23,'Dialogpart 4'!K101,IF('Sortering af spørgsmål'!C22=Projektforudsætninger!$C$24,'Dialogpart 5'!K101,IF('Sortering af spørgsmål'!C22=Projektforudsætninger!$C$25,'Dialogpart 6'!K101,IF('Sortering af spørgsmål'!C22=Projektforudsætninger!$C$26,'Dialogpart 7'!K101,"")))))))</f>
        <v/>
      </c>
    </row>
    <row r="167" spans="1:6" x14ac:dyDescent="0.45">
      <c r="A167" s="659"/>
      <c r="B167" s="665" t="str">
        <f>'DGNB matrice'!C158</f>
        <v>2.2</v>
      </c>
      <c r="C167" s="665" t="str">
        <f>'DGNB matrice'!D158</f>
        <v>Interne indgangs- og adgangsområder</v>
      </c>
      <c r="D167" s="635" t="str">
        <f>IF('Sortering af spørgsmål'!C22="Ikke relevant","-",IF('Sortering af spørgsmål'!C22="Vælg fra rullemenu:","Mangler svar",Arbejdsark!K311))</f>
        <v>Mangler svar</v>
      </c>
      <c r="E167" s="635" t="str">
        <f>IF('Sortering af spørgsmål'!C22="Ikke relevant","-",IF('Sortering af spørgsmål'!C22="Vælg fra rullemenu:","Mangler svar",Arbejdsark!N311))</f>
        <v>Mangler svar</v>
      </c>
      <c r="F167" s="642" t="str">
        <f>IF('Sortering af spørgsmål'!C22=Projektforudsætninger!$C$20,'Dialogpart 1'!K96,IF('Sortering af spørgsmål'!C22=Projektforudsætninger!$C$21,'Dialogpart 2'!K96,IF('Sortering af spørgsmål'!C22=Projektforudsætninger!$C$22,'Dialogpart 3'!K96,IF('Sortering af spørgsmål'!C22=Projektforudsætninger!$C$23,'Dialogpart 4'!K96,IF('Sortering af spørgsmål'!C22=Projektforudsætninger!$C$24,'Dialogpart 5'!K96,IF('Sortering af spørgsmål'!C22=Projektforudsætninger!$C$25,'Dialogpart 6'!K96,IF('Sortering af spørgsmål'!C22=Projektforudsætninger!$C$26,'Dialogpart 7'!K96,"")))))))</f>
        <v/>
      </c>
    </row>
    <row r="168" spans="1:6" x14ac:dyDescent="0.45">
      <c r="A168" s="627"/>
      <c r="B168" s="665" t="str">
        <f>'DGNB matrice'!C159</f>
        <v>2.3</v>
      </c>
      <c r="C168" s="665" t="str">
        <f>'DGNB matrice'!D159</f>
        <v>Belysning med dagslys</v>
      </c>
      <c r="D168" s="635" t="str">
        <f>IF('Sortering af spørgsmål'!C22="Ikke relevant","-",IF('Sortering af spørgsmål'!C22="Vælg fra rullemenu:","Mangler svar",Arbejdsark!K346))</f>
        <v>Mangler svar</v>
      </c>
      <c r="E168" s="635" t="str">
        <f>IF('Sortering af spørgsmål'!C22="Ikke relevant","-",IF('Sortering af spørgsmål'!C22="Vælg fra rullemenu:","Mangler svar",Arbejdsark!N346))</f>
        <v>Mangler svar</v>
      </c>
      <c r="F168" s="642" t="str">
        <f>IF('Sortering af spørgsmål'!C22=Projektforudsætninger!$C$20,'Dialogpart 1'!K103,IF('Sortering af spørgsmål'!C22=Projektforudsætninger!$C$21,'Dialogpart 2'!K103,IF('Sortering af spørgsmål'!C22=Projektforudsætninger!$C$22,'Dialogpart 3'!K103,IF('Sortering af spørgsmål'!C22=Projektforudsætninger!$C$23,'Dialogpart 4'!K103,IF('Sortering af spørgsmål'!C22=Projektforudsætninger!$C$24,'Dialogpart 5'!K103,IF('Sortering af spørgsmål'!C22=Projektforudsætninger!$C$25,'Dialogpart 6'!K103,IF('Sortering af spørgsmål'!C22=Projektforudsætninger!$C$26,'Dialogpart 7'!K103,"")))))))</f>
        <v/>
      </c>
    </row>
    <row r="169" spans="1:6" x14ac:dyDescent="0.45">
      <c r="A169" s="662"/>
      <c r="B169" s="665"/>
      <c r="C169" s="665"/>
      <c r="D169" s="635" t="str">
        <f>IF('Sortering af spørgsmål'!C22="Ikke relevant","-",IF('Sortering af spørgsmål'!C22="Vælg fra rullemenu:","Mangler svar",Arbejdsark!K351))</f>
        <v>Mangler svar</v>
      </c>
      <c r="E169" s="635" t="str">
        <f>IF('Sortering af spørgsmål'!C22="Ikke relevant","-",IF('Sortering af spørgsmål'!C22="Vælg fra rullemenu:","Mangler svar",Arbejdsark!N351))</f>
        <v>Mangler svar</v>
      </c>
      <c r="F169" s="642" t="str">
        <f>IF('Sortering af spørgsmål'!C22=Projektforudsætninger!$C$20,'Dialogpart 1'!K104,IF('Sortering af spørgsmål'!C22=Projektforudsætninger!$C$21,'Dialogpart 2'!K104,IF('Sortering af spørgsmål'!C22=Projektforudsætninger!$C$22,'Dialogpart 3'!K104,IF('Sortering af spørgsmål'!C22=Projektforudsætninger!$C$23,'Dialogpart 4'!K104,IF('Sortering af spørgsmål'!C22=Projektforudsætninger!$C$24,'Dialogpart 5'!K104,IF('Sortering af spørgsmål'!C22=Projektforudsætninger!$C$25,'Dialogpart 6'!K104,IF('Sortering af spørgsmål'!C22=Projektforudsætninger!$C$26,'Dialogpart 7'!K104,"")))))))</f>
        <v/>
      </c>
    </row>
    <row r="170" spans="1:6" x14ac:dyDescent="0.45">
      <c r="A170" s="627"/>
      <c r="B170" s="665" t="str">
        <f>'DGNB matrice'!C160</f>
        <v>2.4.1</v>
      </c>
      <c r="C170" s="665" t="str">
        <f>'DGNB matrice'!D160</f>
        <v>Visuelle relationer til omgivelserne</v>
      </c>
      <c r="D170" s="635" t="str">
        <f>IF('Sortering af spørgsmål'!C22="Ikke relevant","-",IF('Sortering af spørgsmål'!C22="Vælg fra rullemenu:","Mangler svar",Arbejdsark!K361))</f>
        <v>Mangler svar</v>
      </c>
      <c r="E170" s="635" t="str">
        <f>IF('Sortering af spørgsmål'!C22="Ikke relevant","-",IF('Sortering af spørgsmål'!C22="Vælg fra rullemenu:","Mangler svar",Arbejdsark!N361))</f>
        <v>Mangler svar</v>
      </c>
      <c r="F170" s="642" t="str">
        <f>IF('Sortering af spørgsmål'!C22=Projektforudsætninger!$C$20,'Dialogpart 1'!K106,IF('Sortering af spørgsmål'!C22=Projektforudsætninger!$C$21,'Dialogpart 2'!K106,IF('Sortering af spørgsmål'!C22=Projektforudsætninger!$C$22,'Dialogpart 3'!K106,IF('Sortering af spørgsmål'!C22=Projektforudsætninger!$C$23,'Dialogpart 4'!K106,IF('Sortering af spørgsmål'!C22=Projektforudsætninger!$C$24,'Dialogpart 5'!K106,IF('Sortering af spørgsmål'!C22=Projektforudsætninger!$C$25,'Dialogpart 6'!K106,IF('Sortering af spørgsmål'!C22=Projektforudsætninger!$C$26,'Dialogpart 7'!K106,"")))))))</f>
        <v/>
      </c>
    </row>
    <row r="171" spans="1:6" x14ac:dyDescent="0.45">
      <c r="A171" s="627"/>
      <c r="B171" s="665" t="str">
        <f>'DGNB matrice'!C161</f>
        <v>2.4.2</v>
      </c>
      <c r="C171" s="665" t="str">
        <f>'DGNB matrice'!D161</f>
        <v>Udsigt</v>
      </c>
      <c r="D171" s="640" t="str">
        <f>IF('Sortering af spørgsmål'!C22="Ikke relevant","-",IF('Sortering af spørgsmål'!C22="Vælg fra rullemenu:","Mangler svar",Arbejdsark!K366))</f>
        <v>Mangler svar</v>
      </c>
      <c r="E171" s="640" t="str">
        <f>IF('Sortering af spørgsmål'!C22="Ikke relevant","-",IF('Sortering af spørgsmål'!C22="Vælg fra rullemenu:","Mangler svar",Arbejdsark!N366))</f>
        <v>Mangler svar</v>
      </c>
      <c r="F171" s="641" t="str">
        <f>IF('Sortering af spørgsmål'!C22=Projektforudsætninger!$C$20,'Dialogpart 1'!K107,IF('Sortering af spørgsmål'!C22=Projektforudsætninger!$C$21,'Dialogpart 2'!K107,IF('Sortering af spørgsmål'!C22=Projektforudsætninger!$C$22,'Dialogpart 3'!K107,IF('Sortering af spørgsmål'!C22=Projektforudsætninger!$C$23,'Dialogpart 4'!K107,IF('Sortering af spørgsmål'!C22=Projektforudsætninger!$C$24,'Dialogpart 5'!K107,IF('Sortering af spørgsmål'!C22=Projektforudsætninger!$C$25,'Dialogpart 6'!K107,IF('Sortering af spørgsmål'!C22=Projektforudsætninger!$C$26,'Dialogpart 7'!K107,"")))))))</f>
        <v/>
      </c>
    </row>
    <row r="172" spans="1:6" x14ac:dyDescent="0.45">
      <c r="A172" s="627"/>
      <c r="B172" s="665" t="str">
        <f>'DGNB matrice'!C162</f>
        <v>2.4.3</v>
      </c>
      <c r="C172" s="665" t="str">
        <f>'DGNB matrice'!D162</f>
        <v>Indkig i opholdsrum</v>
      </c>
      <c r="D172" s="635" t="str">
        <f>IF('Sortering af spørgsmål'!C22="Ikke relevant","-",IF('Sortering af spørgsmål'!C22="Vælg fra rullemenu:","Mangler svar",Arbejdsark!K361))</f>
        <v>Mangler svar</v>
      </c>
      <c r="E172" s="635" t="str">
        <f>IF('Sortering af spørgsmål'!C22="Ikke relevant","-",IF('Sortering af spørgsmål'!C22="Vælg fra rullemenu:","Mangler svar",Arbejdsark!N361))</f>
        <v>Mangler svar</v>
      </c>
      <c r="F172" s="642" t="str">
        <f>IF('Sortering af spørgsmål'!C22=Projektforudsætninger!$C$20,'Dialogpart 1'!K106,IF('Sortering af spørgsmål'!C22=Projektforudsætninger!$C$21,'Dialogpart 2'!K106,IF('Sortering af spørgsmål'!C22=Projektforudsætninger!$C$22,'Dialogpart 3'!K106,IF('Sortering af spørgsmål'!C22=Projektforudsætninger!$C$23,'Dialogpart 4'!K106,IF('Sortering af spørgsmål'!C22=Projektforudsætninger!$C$24,'Dialogpart 5'!K106,IF('Sortering af spørgsmål'!C22=Projektforudsætninger!$C$25,'Dialogpart 6'!K106,IF('Sortering af spørgsmål'!C22=Projektforudsætninger!$C$26,'Dialogpart 7'!K106,"")))))))</f>
        <v/>
      </c>
    </row>
    <row r="173" spans="1:6" x14ac:dyDescent="0.45">
      <c r="A173" s="627"/>
      <c r="B173" s="665" t="str">
        <f>'DGNB matrice'!C163</f>
        <v>2.4.4</v>
      </c>
      <c r="C173" s="665" t="str">
        <f>'DGNB matrice'!D163</f>
        <v>Forbindelse mellem boliger og friarealer</v>
      </c>
      <c r="D173" s="635" t="str">
        <f>IF('Sortering af spørgsmål'!C22="Ikke relevant","-",IF('Sortering af spørgsmål'!C22="Vælg fra rullemenu:","Mangler svar",Arbejdsark!K371))</f>
        <v>Mangler svar</v>
      </c>
      <c r="E173" s="635" t="str">
        <f>IF('Sortering af spørgsmål'!C22="Ikke relevant","-",IF('Sortering af spørgsmål'!C22="Vælg fra rullemenu:","Mangler svar",Arbejdsark!N371))</f>
        <v>Mangler svar</v>
      </c>
      <c r="F173" s="642" t="str">
        <f>IF('Sortering af spørgsmål'!C22=Projektforudsætninger!$C$20,'Dialogpart 1'!K108,IF('Sortering af spørgsmål'!C22=Projektforudsætninger!$C$21,'Dialogpart 2'!K108,IF('Sortering af spørgsmål'!C22=Projektforudsætninger!$C$22,'Dialogpart 3'!K108,IF('Sortering af spørgsmål'!C22=Projektforudsætninger!$C$23,'Dialogpart 4'!K108,IF('Sortering af spørgsmål'!C22=Projektforudsætninger!$C$24,'Dialogpart 5'!K108,IF('Sortering af spørgsmål'!C22=Projektforudsætninger!$C$25,'Dialogpart 6'!K108,IF('Sortering af spørgsmål'!C22=Projektforudsætninger!$C$26,'Dialogpart 7'!K108,"")))))))</f>
        <v/>
      </c>
    </row>
    <row r="174" spans="1:6" x14ac:dyDescent="0.45">
      <c r="A174" s="627"/>
      <c r="B174" s="665" t="str">
        <f>'DGNB matrice'!C164</f>
        <v>2.4.5</v>
      </c>
      <c r="C174" s="665" t="str">
        <f>'DGNB matrice'!D164</f>
        <v>Privat friareal (ude)</v>
      </c>
      <c r="D174" s="635" t="str">
        <f>IF('Sortering af spørgsmål'!C14="Ikke relevant","-",IF('Sortering af spørgsmål'!C14="Vælg fra rullemenu:","Mangler svar",Arbejdsark!K154))</f>
        <v>Mangler svar</v>
      </c>
      <c r="E174" s="635" t="str">
        <f>IF('Sortering af spørgsmål'!C14="Ikke relevant","-",IF('Sortering af spørgsmål'!C14="Vælg fra rullemenu:","Mangler svar",Arbejdsark!N154))</f>
        <v>Mangler svar</v>
      </c>
      <c r="F174" s="642" t="str">
        <f>IF('Sortering af spørgsmål'!C14=Projektforudsætninger!$C$20,'Dialogpart 1'!K50,IF('Sortering af spørgsmål'!C14=Projektforudsætninger!$C$21,'Dialogpart 2'!K50,IF('Sortering af spørgsmål'!C14=Projektforudsætninger!$C$22,'Dialogpart 3'!K50,IF('Sortering af spørgsmål'!C14=Projektforudsætninger!$C$23,'Dialogpart 4'!K50,IF('Sortering af spørgsmål'!C14=Projektforudsætninger!$C$24,'Dialogpart 5'!K50,IF('Sortering af spørgsmål'!C14=Projektforudsætninger!$C$25,'Dialogpart 6'!K50,IF('Sortering af spørgsmål'!C14=Projektforudsætninger!$C$26,'Dialogpart 7'!K50,"")))))))</f>
        <v/>
      </c>
    </row>
    <row r="175" spans="1:6" ht="35.65" x14ac:dyDescent="0.45">
      <c r="A175" s="627"/>
      <c r="B175" s="665" t="str">
        <f>'DGNB matrice'!C165</f>
        <v>2.6</v>
      </c>
      <c r="C175" s="665" t="str">
        <f>'DGNB matrice'!D165</f>
        <v>Integreret udformningsdesign/møblerbarhedIntegreret indretningsdesign/møblerbarhed</v>
      </c>
      <c r="D175" s="635" t="str">
        <f>IF('Sortering af spørgsmål'!C22="Ikke relevant","-",IF('Sortering af spørgsmål'!C22="Vælg fra rullemenu:","Mangler svar",Arbejdsark!K341))</f>
        <v>Mangler svar</v>
      </c>
      <c r="E175" s="635" t="str">
        <f>IF('Sortering af spørgsmål'!C22="Ikke relevant","-",IF('Sortering af spørgsmål'!C22="Vælg fra rullemenu:","Mangler svar",Arbejdsark!N341))</f>
        <v>Mangler svar</v>
      </c>
      <c r="F175" s="642" t="str">
        <f>IF('Sortering af spørgsmål'!C22=Projektforudsætninger!$C$20,'Dialogpart 1'!K102,IF('Sortering af spørgsmål'!C22=Projektforudsætninger!$C$21,'Dialogpart 2'!K102,IF('Sortering af spørgsmål'!C22=Projektforudsætninger!$C$22,'Dialogpart 3'!K102,IF('Sortering af spørgsmål'!C22=Projektforudsætninger!$C$23,'Dialogpart 4'!K102,IF('Sortering af spørgsmål'!C22=Projektforudsætninger!$C$24,'Dialogpart 5'!K102,IF('Sortering af spørgsmål'!C22=Projektforudsætninger!$C$25,'Dialogpart 6'!K102,IF('Sortering af spørgsmål'!C22=Projektforudsætninger!$C$26,'Dialogpart 7'!K102,"")))))))</f>
        <v/>
      </c>
    </row>
    <row r="176" spans="1:6" x14ac:dyDescent="0.45">
      <c r="A176" s="627"/>
      <c r="B176" s="665" t="str">
        <f>'DGNB matrice'!C166</f>
        <v>2.7</v>
      </c>
      <c r="C176" s="665" t="str">
        <f>'DGNB matrice'!D166</f>
        <v>Depot- og opbevaringsarealer</v>
      </c>
      <c r="D176" s="635" t="str">
        <f>IF('Sortering af spørgsmål'!C22="Ikke relevant","-",IF('Sortering af spørgsmål'!C22="Vælg fra rullemenu:","Mangler svar",Arbejdsark!K356))</f>
        <v>Mangler svar</v>
      </c>
      <c r="E176" s="635" t="str">
        <f>IF('Sortering af spørgsmål'!C22="Ikke relevant","-",IF('Sortering af spørgsmål'!C22="Vælg fra rullemenu:","Mangler svar",Arbejdsark!N356))</f>
        <v>Mangler svar</v>
      </c>
      <c r="F176" s="642" t="str">
        <f>IF('Sortering af spørgsmål'!C22=Projektforudsætninger!$C$20,'Dialogpart 1'!K105,IF('Sortering af spørgsmål'!C22=Projektforudsætninger!$C$21,'Dialogpart 2'!K105,IF('Sortering af spørgsmål'!C22=Projektforudsætninger!$C$22,'Dialogpart 3'!K105,IF('Sortering af spørgsmål'!C22=Projektforudsætninger!$C$23,'Dialogpart 4'!K105,IF('Sortering af spørgsmål'!C22=Projektforudsætninger!$C$24,'Dialogpart 5'!K105,IF('Sortering af spørgsmål'!C22=Projektforudsætninger!$C$25,'Dialogpart 6'!K105,IF('Sortering af spørgsmål'!C22=Projektforudsætninger!$C$26,'Dialogpart 7'!K105,"")))))))</f>
        <v/>
      </c>
    </row>
    <row r="177" spans="1:6" ht="23.25" x14ac:dyDescent="0.45">
      <c r="A177" s="628"/>
      <c r="B177" s="661" t="str">
        <f>'DGNB matrice'!C167</f>
        <v>2.8</v>
      </c>
      <c r="C177" s="661" t="str">
        <f>'DGNB matrice'!D167</f>
        <v>Tilslutninger til kommunikationsmedier (internet, telefon, tv)</v>
      </c>
      <c r="D177" s="635" t="str">
        <f>IF('Sortering af spørgsmål'!C22="Ikke relevant","-",IF('Sortering af spørgsmål'!C22="Vælg fra rullemenu:","Mangler svar",Arbejdsark!K326))</f>
        <v>Mangler svar</v>
      </c>
      <c r="E177" s="635" t="str">
        <f>IF('Sortering af spørgsmål'!C22="Ikke relevant","-",IF('Sortering af spørgsmål'!C22="Vælg fra rullemenu:","Mangler svar",Arbejdsark!N326))</f>
        <v>Mangler svar</v>
      </c>
      <c r="F177" s="642" t="str">
        <f>IF('Sortering af spørgsmål'!C22=Projektforudsætninger!$C$20,'Dialogpart 1'!K99,IF('Sortering af spørgsmål'!C22=Projektforudsætninger!$C$21,'Dialogpart 2'!K99,IF('Sortering af spørgsmål'!C22=Projektforudsætninger!$C$22,'Dialogpart 3'!K99,IF('Sortering af spørgsmål'!C22=Projektforudsætninger!$C$23,'Dialogpart 4'!K99,IF('Sortering af spørgsmål'!C22=Projektforudsætninger!$C$24,'Dialogpart 5'!K99,IF('Sortering af spørgsmål'!C22=Projektforudsætninger!$C$25,'Dialogpart 6'!K99,IF('Sortering af spørgsmål'!C22=Projektforudsætninger!$C$26,'Dialogpart 7'!K99,"")))))))</f>
        <v/>
      </c>
    </row>
    <row r="178" spans="1:6" x14ac:dyDescent="0.45">
      <c r="A178" s="654" t="str">
        <f>'DGNB matrice'!B168</f>
        <v>TEC1.1</v>
      </c>
      <c r="B178" s="654" t="str">
        <f>'DGNB matrice'!C168</f>
        <v>Brandsikring</v>
      </c>
      <c r="C178" s="655"/>
      <c r="D178" s="640"/>
      <c r="E178" s="640"/>
      <c r="F178" s="641"/>
    </row>
    <row r="179" spans="1:6" x14ac:dyDescent="0.45">
      <c r="A179" s="656"/>
      <c r="B179" s="661" t="str">
        <f>'DGNB matrice'!C169</f>
        <v>1.</v>
      </c>
      <c r="C179" s="661" t="str">
        <f>'DGNB matrice'!D169</f>
        <v xml:space="preserve">Basisindikator                                 </v>
      </c>
      <c r="D179" s="635" t="str">
        <f>IF('Sortering af spørgsmål'!C23="Ikke relevant","-",IF('Sortering af spørgsmål'!C23="Vælg fra rullemenu:","Mangler svar",Arbejdsark!K378))</f>
        <v>Mangler svar</v>
      </c>
      <c r="E179" s="635" t="str">
        <f>IF('Sortering af spørgsmål'!C23="Ikke relevant","-",IF('Sortering af spørgsmål'!C23="Vælg fra rullemenu:","Mangler svar",Arbejdsark!N378))</f>
        <v>Mangler svar</v>
      </c>
      <c r="F179" s="642" t="str">
        <f>IF('Sortering af spørgsmål'!C23=Projektforudsætninger!$C$20,'Dialogpart 1'!K113,IF('Sortering af spørgsmål'!C23=Projektforudsætninger!$C$21,'Dialogpart 2'!K113,IF('Sortering af spørgsmål'!C23=Projektforudsætninger!$C$22,'Dialogpart 3'!K113,IF('Sortering af spørgsmål'!C23=Projektforudsætninger!$C$23,'Dialogpart 4'!K113,IF('Sortering af spørgsmål'!C23=Projektforudsætninger!$C$24,'Dialogpart 5'!K113,IF('Sortering af spørgsmål'!C23=Projektforudsætninger!$C$25,'Dialogpart 6'!K113,IF('Sortering af spørgsmål'!C23=Projektforudsætninger!$C$26,'Dialogpart 7'!K113,"")))))))</f>
        <v/>
      </c>
    </row>
    <row r="180" spans="1:6" ht="65.25" customHeight="1" x14ac:dyDescent="0.45">
      <c r="A180" s="662"/>
      <c r="B180" s="663"/>
      <c r="C180" s="664"/>
      <c r="D180" s="635" t="str">
        <f>Projektforudsætninger!A42</f>
        <v>Vil der i udbuddet blive stillet krav om udarbejdelse af brandteknisk dokumentation, brandplaner og drifts- og vedligeholdelsesplaner?</v>
      </c>
      <c r="E180" s="635" t="str">
        <f>IF(Projektforudsætninger!C42="Vælg fra rullemenu","",Projektforudsætninger!C42)</f>
        <v/>
      </c>
      <c r="F180" s="642" t="str">
        <f>IF(Projektforudsætninger!D42="","",Projektforudsætninger!D42)</f>
        <v/>
      </c>
    </row>
    <row r="181" spans="1:6" ht="78" customHeight="1" x14ac:dyDescent="0.45">
      <c r="A181" s="662"/>
      <c r="B181" s="671"/>
      <c r="C181" s="665"/>
      <c r="D181" s="635" t="str">
        <f>Projektforudsætninger!A43</f>
        <v>Vil der i udbuddet blive stillet krav om oprettelse af en funktions-/styre- og grænsefladematrix, der sikrer grænsefladekontrol af sikkerhedsrelevante anlæg?</v>
      </c>
      <c r="E181" s="635" t="str">
        <f>IF(Projektforudsætninger!C43="Vælg fra rullemenu","",Projektforudsætninger!C43)</f>
        <v/>
      </c>
      <c r="F181" s="642" t="str">
        <f>IF(Projektforudsætninger!D43="","",Projektforudsætninger!D43)</f>
        <v/>
      </c>
    </row>
    <row r="182" spans="1:6" x14ac:dyDescent="0.45">
      <c r="A182" s="659"/>
      <c r="B182" s="661" t="str">
        <f>'DGNB matrice'!C170</f>
        <v>2.1</v>
      </c>
      <c r="C182" s="661" t="str">
        <f>'DGNB matrice'!D170</f>
        <v>Ekstra brandsikring</v>
      </c>
      <c r="D182" s="635" t="str">
        <f>IF(Projektforudsætninger!C44="Ja",Projektforudsætninger!A45,"")</f>
        <v/>
      </c>
      <c r="E182" s="635"/>
      <c r="F182" s="642" t="str">
        <f>IF(Projektforudsætninger!C44="Ja",Projektforudsætninger!B45,"")</f>
        <v/>
      </c>
    </row>
    <row r="183" spans="1:6" x14ac:dyDescent="0.45">
      <c r="A183" s="660"/>
      <c r="B183" s="661" t="str">
        <f>'DGNB matrice'!C171</f>
        <v>2.2</v>
      </c>
      <c r="C183" s="661" t="str">
        <f>'DGNB matrice'!D171</f>
        <v>Brandteknisk dimensionering</v>
      </c>
      <c r="D183" s="640"/>
      <c r="E183" s="640"/>
      <c r="F183" s="641"/>
    </row>
    <row r="184" spans="1:6" x14ac:dyDescent="0.45">
      <c r="A184" s="662"/>
      <c r="B184" s="661" t="str">
        <f>'DGNB matrice'!C172</f>
        <v>3.2</v>
      </c>
      <c r="C184" s="661" t="str">
        <f>'DGNB matrice'!D172</f>
        <v>Tekniske sikkerhedsanordninger</v>
      </c>
      <c r="D184" s="640"/>
      <c r="E184" s="640"/>
      <c r="F184" s="641"/>
    </row>
    <row r="185" spans="1:6" x14ac:dyDescent="0.45">
      <c r="A185" s="662"/>
      <c r="B185" s="661" t="str">
        <f>'DGNB matrice'!C173</f>
        <v>3.6</v>
      </c>
      <c r="C185" s="661" t="str">
        <f>'DGNB matrice'!D173</f>
        <v>Information til beboere om brandsikring</v>
      </c>
      <c r="D185" s="635" t="str">
        <f>IF('Sortering af spørgsmål'!C20="Ikke relevant","-",IF('Sortering af spørgsmål'!C20="Vælg fra rullemenu:","Mangler svar",Arbejdsark!K270))</f>
        <v>Mangler svar</v>
      </c>
      <c r="E185" s="635" t="str">
        <f>IF('Sortering af spørgsmål'!C20="Ikke relevant","-",IF('Sortering af spørgsmål'!C20="Vælg fra rullemenu:","Mangler svar",Arbejdsark!N270))</f>
        <v>Mangler svar</v>
      </c>
      <c r="F185" s="642" t="str">
        <f>IF('Sortering af spørgsmål'!C20=Projektforudsætninger!$C$20,'Dialogpart 1'!K87,IF('Sortering af spørgsmål'!C20=Projektforudsætninger!$C$21,'Dialogpart 2'!K87,IF('Sortering af spørgsmål'!C20=Projektforudsætninger!$C$22,'Dialogpart 3'!K87,IF('Sortering af spørgsmål'!C20=Projektforudsætninger!$C$23,'Dialogpart 4'!K87,IF('Sortering af spørgsmål'!C20=Projektforudsætninger!$C$24,'Dialogpart 5'!K87,IF('Sortering af spørgsmål'!C20=Projektforudsætninger!$C$25,'Dialogpart 6'!K87,IF('Sortering af spørgsmål'!C20=Projektforudsætninger!$C$26,'Dialogpart 7'!K87,"")))))))</f>
        <v/>
      </c>
    </row>
    <row r="186" spans="1:6" x14ac:dyDescent="0.45">
      <c r="A186" s="654" t="str">
        <f>'DGNB matrice'!B174</f>
        <v>TEC1.2</v>
      </c>
      <c r="B186" s="654" t="str">
        <f>'DGNB matrice'!C174</f>
        <v>Akustik og lydisolering</v>
      </c>
      <c r="C186" s="655"/>
      <c r="D186" s="635" t="str">
        <f>IF('Sortering af spørgsmål'!C15="Ikke relevant","-",IF('Sortering af spørgsmål'!C15="Vælg fra rullemenu:","Mangler svar",Arbejdsark!K182))</f>
        <v>Mangler svar</v>
      </c>
      <c r="E186" s="635" t="str">
        <f>IF('Sortering af spørgsmål'!C15="Ikke relevant","-",IF('Sortering af spørgsmål'!C15="Vælg fra rullemenu:","Mangler svar",Arbejdsark!N182))</f>
        <v>Mangler svar</v>
      </c>
      <c r="F186" s="639" t="str">
        <f>IF('Sortering af spørgsmål'!C15=Projektforudsætninger!$C$20,'Dialogpart 1'!K59,IF('Sortering af spørgsmål'!C15=Projektforudsætninger!$C$21,'Dialogpart 2'!K59,IF('Sortering af spørgsmål'!C15=Projektforudsætninger!$C$22,'Dialogpart 3'!K59,IF('Sortering af spørgsmål'!C15=Projektforudsætninger!$C$23,'Dialogpart 4'!K59,IF('Sortering af spørgsmål'!C15=Projektforudsætninger!$C$24,'Dialogpart 5'!K59,IF('Sortering af spørgsmål'!C15=Projektforudsætninger!$C$25,'Dialogpart 6'!K59,IF('Sortering af spørgsmål'!C15=Projektforudsætninger!$C$26,'Dialogpart 7'!K59,"")))))))</f>
        <v/>
      </c>
    </row>
    <row r="187" spans="1:6" ht="23.25" x14ac:dyDescent="0.45">
      <c r="A187" s="654" t="str">
        <f>'DGNB matrice'!B175</f>
        <v>TEC1.3</v>
      </c>
      <c r="B187" s="654" t="str">
        <f>'DGNB matrice'!C175</f>
        <v>Klimaskærmens kvalitet</v>
      </c>
      <c r="C187" s="655"/>
      <c r="D187" s="640"/>
      <c r="E187" s="640"/>
      <c r="F187" s="641"/>
    </row>
    <row r="188" spans="1:6" x14ac:dyDescent="0.45">
      <c r="A188" s="654"/>
      <c r="B188" s="661" t="str">
        <f>'DGNB matrice'!C176</f>
        <v>1.</v>
      </c>
      <c r="C188" s="661" t="str">
        <f>'DGNB matrice'!D176</f>
        <v>Isoleringskrav for bygningsdele</v>
      </c>
      <c r="D188" s="635" t="str">
        <f>IF('Sortering af spørgsmål'!C24="Ikke relevant","-",IF('Sortering af spørgsmål'!C24="Vælg fra rullemenu:","Mangler svar",Arbejdsark!K388))</f>
        <v>Mangler svar</v>
      </c>
      <c r="E188" s="635" t="str">
        <f>IF('Sortering af spørgsmål'!C24="Ikke relevant","-",IF('Sortering af spørgsmål'!C24="Vælg fra rullemenu:","Mangler svar",Arbejdsark!N388))</f>
        <v>Mangler svar</v>
      </c>
      <c r="F188" s="642" t="str">
        <f>IF('Sortering af spørgsmål'!C24=Projektforudsætninger!$C$20,'Dialogpart 1'!K117,IF('Sortering af spørgsmål'!C24=Projektforudsætninger!$C$21,'Dialogpart 2'!K117,IF('Sortering af spørgsmål'!C24=Projektforudsætninger!$C$22,'Dialogpart 3'!K117,IF('Sortering af spørgsmål'!C24=Projektforudsætninger!$C$23,'Dialogpart 4'!K117,IF('Sortering af spørgsmål'!C24=Projektforudsætninger!$C$24,'Dialogpart 5'!K117,IF('Sortering af spørgsmål'!C24=Projektforudsætninger!$C$25,'Dialogpart 6'!K117,IF('Sortering af spørgsmål'!C24=Projektforudsætninger!$C$26,'Dialogpart 7'!K117,"")))))))</f>
        <v/>
      </c>
    </row>
    <row r="189" spans="1:6" x14ac:dyDescent="0.45">
      <c r="A189" s="654"/>
      <c r="B189" s="661" t="str">
        <f>'DGNB matrice'!C177</f>
        <v>2.</v>
      </c>
      <c r="C189" s="661" t="str">
        <f>'DGNB matrice'!D177</f>
        <v>Linjetab</v>
      </c>
      <c r="D189" s="635" t="str">
        <f>IF('Sortering af spørgsmål'!C24="Ikke relevant","-",IF('Sortering af spørgsmål'!C24="Vælg fra rullemenu:","Mangler svar",Arbejdsark!K393))</f>
        <v>Mangler svar</v>
      </c>
      <c r="E189" s="635" t="str">
        <f>IF('Sortering af spørgsmål'!C24="Ikke relevant","-",IF('Sortering af spørgsmål'!C24="Vælg fra rullemenu:","Mangler svar",Arbejdsark!N393))</f>
        <v>Mangler svar</v>
      </c>
      <c r="F189" s="642" t="str">
        <f>IF('Sortering af spørgsmål'!C24=Projektforudsætninger!$C$20,'Dialogpart 1'!K118,IF('Sortering af spørgsmål'!C24=Projektforudsætninger!$C$21,'Dialogpart 2'!K118,IF('Sortering af spørgsmål'!C24=Projektforudsætninger!$C$22,'Dialogpart 3'!K118,IF('Sortering af spørgsmål'!C24=Projektforudsætninger!$C$23,'Dialogpart 4'!K118,IF('Sortering af spørgsmål'!C24=Projektforudsætninger!$C$24,'Dialogpart 5'!K118,IF('Sortering af spørgsmål'!C24=Projektforudsætninger!$C$25,'Dialogpart 6'!K118,IF('Sortering af spørgsmål'!C24=Projektforudsætninger!$C$26,'Dialogpart 7'!K118,"")))))))</f>
        <v/>
      </c>
    </row>
    <row r="190" spans="1:6" ht="23.25" x14ac:dyDescent="0.45">
      <c r="A190" s="654"/>
      <c r="B190" s="661" t="str">
        <f>'DGNB matrice'!C178</f>
        <v>3.</v>
      </c>
      <c r="C190" s="661" t="str">
        <f>'DGNB matrice'!D178</f>
        <v>Dimensionerende transmissionstab for klimaskærmen</v>
      </c>
      <c r="D190" s="635" t="str">
        <f>IF('Sortering af spørgsmål'!C24="Ikke relevant","-",IF('Sortering af spørgsmål'!C24="Vælg fra rullemenu:","Mangler svar",Arbejdsark!K398))</f>
        <v>Mangler svar</v>
      </c>
      <c r="E190" s="635" t="str">
        <f>IF('Sortering af spørgsmål'!C24="Ikke relevant","-",IF('Sortering af spørgsmål'!C24="Vælg fra rullemenu:","Mangler svar",Arbejdsark!N398))</f>
        <v>Mangler svar</v>
      </c>
      <c r="F190" s="642" t="str">
        <f>IF('Sortering af spørgsmål'!C24=Projektforudsætninger!$C$20,'Dialogpart 1'!K119,IF('Sortering af spørgsmål'!C24=Projektforudsætninger!$C$21,'Dialogpart 2'!K119,IF('Sortering af spørgsmål'!C24=Projektforudsætninger!$C$22,'Dialogpart 3'!K119,IF('Sortering af spørgsmål'!C24=Projektforudsætninger!$C$23,'Dialogpart 4'!K119,IF('Sortering af spørgsmål'!C24=Projektforudsætninger!$C$24,'Dialogpart 5'!K119,IF('Sortering af spørgsmål'!C24=Projektforudsætninger!$C$25,'Dialogpart 6'!K119,IF('Sortering af spørgsmål'!C24=Projektforudsætninger!$C$26,'Dialogpart 7'!K119,"")))))))</f>
        <v/>
      </c>
    </row>
    <row r="191" spans="1:6" x14ac:dyDescent="0.45">
      <c r="A191" s="654"/>
      <c r="B191" s="661" t="str">
        <f>'DGNB matrice'!C179</f>
        <v>4.</v>
      </c>
      <c r="C191" s="661" t="str">
        <f>'DGNB matrice'!D179</f>
        <v>Fugtsikring</v>
      </c>
      <c r="D191" s="635" t="str">
        <f>IF('Sortering af spørgsmål'!C24="Ikke relevant","-",IF('Sortering af spørgsmål'!C24="Vælg fra rullemenu:","Mangler svar",Arbejdsark!K418))</f>
        <v>Mangler svar</v>
      </c>
      <c r="E191" s="635" t="str">
        <f>IF('Sortering af spørgsmål'!C24="Ikke relevant","-",IF('Sortering af spørgsmål'!C24="Vælg fra rullemenu:","Mangler svar",Arbejdsark!N418))</f>
        <v>Mangler svar</v>
      </c>
      <c r="F191" s="642" t="str">
        <f>IF('Sortering af spørgsmål'!C24=Projektforudsætninger!$C$20,'Dialogpart 1'!K123,IF('Sortering af spørgsmål'!C24=Projektforudsætninger!$C$21,'Dialogpart 2'!K123,IF('Sortering af spørgsmål'!C24=Projektforudsætninger!$C$22,'Dialogpart 3'!K123,IF('Sortering af spørgsmål'!C24=Projektforudsætninger!$C$23,'Dialogpart 4'!K123,IF('Sortering af spørgsmål'!C24=Projektforudsætninger!$C$24,'Dialogpart 5'!K123,IF('Sortering af spørgsmål'!C24=Projektforudsætninger!$C$25,'Dialogpart 6'!K123,IF('Sortering af spørgsmål'!C24=Projektforudsætninger!$C$26,'Dialogpart 7'!K123,"")))))))</f>
        <v/>
      </c>
    </row>
    <row r="192" spans="1:6" x14ac:dyDescent="0.45">
      <c r="A192" s="654"/>
      <c r="B192" s="661" t="str">
        <f>'DGNB matrice'!C180</f>
        <v>5.</v>
      </c>
      <c r="C192" s="661" t="str">
        <f>'DGNB matrice'!D180</f>
        <v>Lufttæthed, infiltration q50</v>
      </c>
      <c r="D192" s="635" t="str">
        <f>IF('Sortering af spørgsmål'!C24="Ikke relevant","-",IF('Sortering af spørgsmål'!C24="Vælg fra rullemenu:","Mangler svar",Arbejdsark!K413))</f>
        <v>Mangler svar</v>
      </c>
      <c r="E192" s="635" t="str">
        <f>IF('Sortering af spørgsmål'!C24="Ikke relevant","-",IF('Sortering af spørgsmål'!C24="Vælg fra rullemenu:","Mangler svar",Arbejdsark!N413))</f>
        <v>Mangler svar</v>
      </c>
      <c r="F192" s="642" t="str">
        <f>IF('Sortering af spørgsmål'!C24=Projektforudsætninger!$C$20,'Dialogpart 1'!K122,IF('Sortering af spørgsmål'!C24=Projektforudsætninger!$C$21,'Dialogpart 2'!K122,IF('Sortering af spørgsmål'!C24=Projektforudsætninger!$C$22,'Dialogpart 3'!K122,IF('Sortering af spørgsmål'!C24=Projektforudsætninger!$C$23,'Dialogpart 4'!K122,IF('Sortering af spørgsmål'!C24=Projektforudsætninger!$C$24,'Dialogpart 5'!K122,IF('Sortering af spørgsmål'!C24=Projektforudsætninger!$C$25,'Dialogpart 6'!K122,IF('Sortering af spørgsmål'!C24=Projektforudsætninger!$C$26,'Dialogpart 7'!K122,"")))))))</f>
        <v/>
      </c>
    </row>
    <row r="193" spans="1:6" x14ac:dyDescent="0.45">
      <c r="A193" s="654"/>
      <c r="B193" s="661" t="str">
        <f>'DGNB matrice'!C181</f>
        <v>6.</v>
      </c>
      <c r="C193" s="661" t="str">
        <f>'DGNB matrice'!D181</f>
        <v>Vinduernes energimærke</v>
      </c>
      <c r="D193" s="635" t="str">
        <f>IF('Sortering af spørgsmål'!C24="Ikke relevant","-",IF('Sortering af spørgsmål'!C24="Vælg fra rullemenu:","Mangler svar",Arbejdsark!K403))</f>
        <v>Mangler svar</v>
      </c>
      <c r="E193" s="635" t="str">
        <f>IF('Sortering af spørgsmål'!C24="Ikke relevant","-",IF('Sortering af spørgsmål'!C24="Vælg fra rullemenu:","Mangler svar",Arbejdsark!N403))</f>
        <v>Mangler svar</v>
      </c>
      <c r="F193" s="642" t="str">
        <f>IF('Sortering af spørgsmål'!C24=Projektforudsætninger!$C$20,'Dialogpart 1'!K120,IF('Sortering af spørgsmål'!C24=Projektforudsætninger!$C$21,'Dialogpart 2'!K120,IF('Sortering af spørgsmål'!C24=Projektforudsætninger!$C$22,'Dialogpart 3'!K120,IF('Sortering af spørgsmål'!C24=Projektforudsætninger!$C$23,'Dialogpart 4'!K120,IF('Sortering af spørgsmål'!C24=Projektforudsætninger!$C$24,'Dialogpart 5'!K120,IF('Sortering af spørgsmål'!C24=Projektforudsætninger!$C$25,'Dialogpart 6'!K120,IF('Sortering af spørgsmål'!C24=Projektforudsætninger!$C$26,'Dialogpart 7'!K120,"")))))))</f>
        <v/>
      </c>
    </row>
    <row r="194" spans="1:6" x14ac:dyDescent="0.45">
      <c r="A194" s="654"/>
      <c r="B194" s="654"/>
      <c r="C194" s="665"/>
      <c r="D194" s="635" t="str">
        <f>IF('Sortering af spørgsmål'!C24="Ikke relevant","-",IF('Sortering af spørgsmål'!C24="Vælg fra rullemenu:","Mangler svar",Arbejdsark!K408))</f>
        <v>Mangler svar</v>
      </c>
      <c r="E194" s="635" t="str">
        <f>IF('Sortering af spørgsmål'!C24="Ikke relevant","-",IF('Sortering af spørgsmål'!C24="Vælg fra rullemenu:","Mangler svar",Arbejdsark!N408))</f>
        <v>Mangler svar</v>
      </c>
      <c r="F194" s="642" t="str">
        <f>IF('Sortering af spørgsmål'!C24=Projektforudsætninger!$C$20,'Dialogpart 1'!K121,IF('Sortering af spørgsmål'!C24=Projektforudsætninger!$C$21,'Dialogpart 2'!K121,IF('Sortering af spørgsmål'!C24=Projektforudsætninger!$C$22,'Dialogpart 3'!K121,IF('Sortering af spørgsmål'!C24=Projektforudsætninger!$C$23,'Dialogpart 4'!K121,IF('Sortering af spørgsmål'!C24=Projektforudsætninger!$C$24,'Dialogpart 5'!K121,IF('Sortering af spørgsmål'!C24=Projektforudsætninger!$C$25,'Dialogpart 6'!K121,IF('Sortering af spørgsmål'!C24=Projektforudsætninger!$C$26,'Dialogpart 7'!K121,"")))))))</f>
        <v/>
      </c>
    </row>
    <row r="195" spans="1:6" ht="23.25" x14ac:dyDescent="0.45">
      <c r="A195" s="654" t="str">
        <f>'DGNB matrice'!B182</f>
        <v>TEC1.4</v>
      </c>
      <c r="B195" s="654" t="str">
        <f>'DGNB matrice'!C182</f>
        <v>De tekniske systemers tilpasningsevne</v>
      </c>
      <c r="C195" s="655"/>
      <c r="D195" s="640"/>
      <c r="E195" s="640"/>
      <c r="F195" s="641"/>
    </row>
    <row r="196" spans="1:6" ht="34.9" x14ac:dyDescent="0.45">
      <c r="A196" s="656"/>
      <c r="B196" s="661" t="str">
        <f>'DGNB matrice'!C183</f>
        <v>1.1</v>
      </c>
      <c r="C196" s="661" t="str">
        <f>'DGNB matrice'!D183</f>
        <v>Alle komponenters tilgængelighed i teknikcentralen med henblik på modernisering og en senere udskiftning</v>
      </c>
      <c r="D196" s="635" t="str">
        <f>IF('Sortering af spørgsmål'!C13="Ikke relevant","-",IF('Sortering af spørgsmål'!C13="Vælg fra rullemenu:","Mangler svar",Arbejdsark!K139))</f>
        <v>Mangler svar</v>
      </c>
      <c r="E196" s="635" t="str">
        <f>IF('Sortering af spørgsmål'!C13="Ikke relevant","-",IF('Sortering af spørgsmål'!C13="Vælg fra rullemenu:","Mangler svar",Arbejdsark!N139))</f>
        <v>Mangler svar</v>
      </c>
      <c r="F196" s="642" t="str">
        <f>IF('Sortering af spørgsmål'!C13=Projektforudsætninger!$C$20,'Dialogpart 1'!K45,IF('Sortering af spørgsmål'!C13=Projektforudsætninger!$C$21,'Dialogpart 2'!K45,IF('Sortering af spørgsmål'!C13=Projektforudsætninger!$C$22,'Dialogpart 3'!K45,IF('Sortering af spørgsmål'!C13=Projektforudsætninger!$C$23,'Dialogpart 4'!K45,IF('Sortering af spørgsmål'!C13=Projektforudsætninger!$C$24,'Dialogpart 5'!K45,IF('Sortering af spørgsmål'!C13=Projektforudsætninger!$C$25,'Dialogpart 6'!K45,IF('Sortering af spørgsmål'!C13=Projektforudsætninger!$C$26,'Dialogpart 7'!K45,"")))))))</f>
        <v/>
      </c>
    </row>
    <row r="197" spans="1:6" x14ac:dyDescent="0.45">
      <c r="A197" s="659"/>
      <c r="B197" s="661" t="str">
        <f>'DGNB matrice'!C184</f>
        <v>1.2</v>
      </c>
      <c r="C197" s="661" t="str">
        <f>'DGNB matrice'!D184</f>
        <v>Planlægning</v>
      </c>
      <c r="D197" s="640" t="str">
        <f>IF('Sortering af spørgsmål'!C13="Ikke relevant","-",IF('Sortering af spørgsmål'!C13="Vælg fra rullemenu:","Mangler svar",Arbejdsark!K139))</f>
        <v>Mangler svar</v>
      </c>
      <c r="E197" s="640" t="str">
        <f>IF('Sortering af spørgsmål'!C13="Ikke relevant","-",IF('Sortering af spørgsmål'!C13="Vælg fra rullemenu:","Mangler svar",Arbejdsark!N139))</f>
        <v>Mangler svar</v>
      </c>
      <c r="F197" s="641" t="str">
        <f>IF(F196="","","Se kommentar under 'Alle komponenters tilgængelighed i teknikcentralen…'")</f>
        <v/>
      </c>
    </row>
    <row r="198" spans="1:6" x14ac:dyDescent="0.45">
      <c r="A198" s="659"/>
      <c r="B198" s="661" t="str">
        <f>'DGNB matrice'!C185</f>
        <v>1.3</v>
      </c>
      <c r="C198" s="661" t="str">
        <f>'DGNB matrice'!D185</f>
        <v>Tilgængelighed i vertikale skakter</v>
      </c>
      <c r="D198" s="640" t="str">
        <f>IF('Sortering af spørgsmål'!C13="Ikke relevant","-",IF('Sortering af spørgsmål'!C13="Vælg fra rullemenu:","Mangler svar",Arbejdsark!K139))</f>
        <v>Mangler svar</v>
      </c>
      <c r="E198" s="640" t="str">
        <f>IF('Sortering af spørgsmål'!C13="Ikke relevant","-",IF('Sortering af spørgsmål'!C13="Vælg fra rullemenu:","Mangler svar",Arbejdsark!N139))</f>
        <v>Mangler svar</v>
      </c>
      <c r="F198" s="641" t="str">
        <f>IF(F196="","","Se kommentar under 'Alle komponenters tilgængelighed i teknikcentralen…'")</f>
        <v/>
      </c>
    </row>
    <row r="199" spans="1:6" ht="17.25" customHeight="1" x14ac:dyDescent="0.45">
      <c r="A199" s="659"/>
      <c r="B199" s="661" t="str">
        <f>'DGNB matrice'!C186</f>
        <v>1.4.1</v>
      </c>
      <c r="C199" s="661" t="str">
        <f>'DGNB matrice'!D186</f>
        <v>skakter til VVS, el- og itforsyning</v>
      </c>
      <c r="D199" s="635" t="str">
        <f>IF('Sortering af spørgsmål'!C13="Ikke relevant","-",IF('Sortering af spørgsmål'!C13="Vælg fra rullemenu:","Mangler svar",Arbejdsark!K144))</f>
        <v>Mangler svar</v>
      </c>
      <c r="E199" s="635" t="str">
        <f>IF('Sortering af spørgsmål'!C13="Ikke relevant","-",IF('Sortering af spørgsmål'!C13="Vælg fra rullemenu:","Mangler svar",Arbejdsark!N144))</f>
        <v>Mangler svar</v>
      </c>
      <c r="F199" s="642" t="str">
        <f>IF('Sortering af spørgsmål'!C13=Projektforudsætninger!$C$20,'Dialogpart 1'!K46,IF('Sortering af spørgsmål'!C13=Projektforudsætninger!$C$21,'Dialogpart 2'!K46,IF('Sortering af spørgsmål'!C13=Projektforudsætninger!$C$22,'Dialogpart 3'!K46,IF('Sortering af spørgsmål'!C13=Projektforudsætninger!$C$23,'Dialogpart 4'!K46,IF('Sortering af spørgsmål'!C13=Projektforudsætninger!$C$24,'Dialogpart 5'!K46,IF('Sortering af spørgsmål'!C13=Projektforudsætninger!$C$25,'Dialogpart 6'!K46,IF('Sortering af spørgsmål'!C13=Projektforudsætninger!$C$26,'Dialogpart 7'!K46,"")))))))</f>
        <v/>
      </c>
    </row>
    <row r="200" spans="1:6" x14ac:dyDescent="0.45">
      <c r="A200" s="627"/>
      <c r="B200" s="661" t="str">
        <f>'DGNB matrice'!C187</f>
        <v>1.4.2</v>
      </c>
      <c r="C200" s="661" t="str">
        <f>'DGNB matrice'!D187</f>
        <v>Ventilationsskakte</v>
      </c>
      <c r="D200" s="640" t="str">
        <f>IF('Sortering af spørgsmål'!C13="Ikke relevant","-",IF('Sortering af spørgsmål'!C13="Vælg fra rullemenu:","Mangler svar",Arbejdsark!K144))</f>
        <v>Mangler svar</v>
      </c>
      <c r="E200" s="640" t="str">
        <f>IF('Sortering af spørgsmål'!C13="Ikke relevant","-",IF('Sortering af spørgsmål'!C13="Vælg fra rullemenu:","Mangler svar",Arbejdsark!N144))</f>
        <v>Mangler svar</v>
      </c>
      <c r="F200" s="641" t="str">
        <f>IF(F199="","","Se kommentar under 'Skakter til VVS, el- og itforsyning'")</f>
        <v/>
      </c>
    </row>
    <row r="201" spans="1:6" x14ac:dyDescent="0.45">
      <c r="A201" s="627"/>
      <c r="B201" s="661" t="str">
        <f>'DGNB matrice'!C188</f>
        <v>1.4.3</v>
      </c>
      <c r="C201" s="661" t="str">
        <f>'DGNB matrice'!D188</f>
        <v>Elevatorskakte</v>
      </c>
      <c r="D201" s="640" t="str">
        <f>IF('Sortering af spørgsmål'!C13="Ikke relevant","-",IF('Sortering af spørgsmål'!C13="Vælg fra rullemenu:","Mangler svar",Arbejdsark!K144))</f>
        <v>Mangler svar</v>
      </c>
      <c r="E201" s="640" t="str">
        <f>IF('Sortering af spørgsmål'!C13="Ikke relevant","-",IF('Sortering af spørgsmål'!C13="Vælg fra rullemenu:","Mangler svar",Arbejdsark!N144))</f>
        <v>Mangler svar</v>
      </c>
      <c r="F201" s="641" t="str">
        <f>IF(F199="","","Se kommentar under 'Skakter til VVS, el- og itforsyning'")</f>
        <v/>
      </c>
    </row>
    <row r="202" spans="1:6" x14ac:dyDescent="0.45">
      <c r="A202" s="627"/>
      <c r="B202" s="661" t="str">
        <f>'DGNB matrice'!C189</f>
        <v>2.1</v>
      </c>
      <c r="C202" s="661" t="str">
        <f>'DGNB matrice'!D189</f>
        <v>Varmesystem og varmefordeling</v>
      </c>
      <c r="D202" s="640" t="str">
        <f>IF('Sortering af spørgsmål'!C13="Ikke relevant","-",IF('Sortering af spørgsmål'!C13="Vælg fra rullemenu:","Mangler svar",Arbejdsark!K144))</f>
        <v>Mangler svar</v>
      </c>
      <c r="E202" s="640" t="str">
        <f>IF('Sortering af spørgsmål'!C13="Ikke relevant","-",IF('Sortering af spørgsmål'!C13="Vælg fra rullemenu:","Mangler svar",Arbejdsark!N144))</f>
        <v>Mangler svar</v>
      </c>
      <c r="F202" s="641" t="str">
        <f>IF(F199="","","Se kommentar under 'Skakter til VVS, el- og itforsyning'")</f>
        <v/>
      </c>
    </row>
    <row r="203" spans="1:6" x14ac:dyDescent="0.45">
      <c r="A203" s="627"/>
      <c r="B203" s="661" t="str">
        <f>'DGNB matrice'!C190</f>
        <v>2.2</v>
      </c>
      <c r="C203" s="661" t="str">
        <f>'DGNB matrice'!D190</f>
        <v>Kølesystem og kølefordeling</v>
      </c>
      <c r="D203" s="640" t="str">
        <f>IF('Sortering af spørgsmål'!C13="Ikke relevant","-",IF('Sortering af spørgsmål'!C13="Vælg fra rullemenu:","Mangler svar",Arbejdsark!K144))</f>
        <v>Mangler svar</v>
      </c>
      <c r="E203" s="640" t="str">
        <f>IF('Sortering af spørgsmål'!C13="Ikke relevant","-",IF('Sortering af spørgsmål'!C13="Vælg fra rullemenu:","Mangler svar",Arbejdsark!N144))</f>
        <v>Mangler svar</v>
      </c>
      <c r="F203" s="641" t="str">
        <f>IF(F199="","","Se kommentar under 'Skakter til VVS, el- og itforsyning'")</f>
        <v/>
      </c>
    </row>
    <row r="204" spans="1:6" ht="23.25" x14ac:dyDescent="0.45">
      <c r="A204" s="627"/>
      <c r="B204" s="661" t="str">
        <f>'DGNB matrice'!C191</f>
        <v>3.1</v>
      </c>
      <c r="C204" s="661" t="str">
        <f>'DGNB matrice'!D191</f>
        <v xml:space="preserve">Systemintegration - tilstand og mulighed for udbygning </v>
      </c>
      <c r="D204" s="640"/>
      <c r="E204" s="640"/>
      <c r="F204" s="641"/>
    </row>
    <row r="205" spans="1:6" ht="23.25" x14ac:dyDescent="0.45">
      <c r="A205" s="628"/>
      <c r="B205" s="661" t="str">
        <f>'DGNB matrice'!C192</f>
        <v>3.2</v>
      </c>
      <c r="C205" s="661" t="str">
        <f>'DGNB matrice'!D192</f>
        <v>Integration af funktioner i et overordnet system</v>
      </c>
      <c r="D205" s="640"/>
      <c r="E205" s="640"/>
      <c r="F205" s="641"/>
    </row>
    <row r="206" spans="1:6" ht="23.25" x14ac:dyDescent="0.45">
      <c r="A206" s="654" t="str">
        <f>'DGNB matrice'!B193</f>
        <v>TEC1.5</v>
      </c>
      <c r="B206" s="654" t="str">
        <f>'DGNB matrice'!C193</f>
        <v>Vedligehold og rengøringsvenlighed</v>
      </c>
      <c r="C206" s="655"/>
      <c r="D206" s="640"/>
      <c r="E206" s="640"/>
      <c r="F206" s="641"/>
    </row>
    <row r="207" spans="1:6" x14ac:dyDescent="0.45">
      <c r="A207" s="656"/>
      <c r="B207" s="661" t="str">
        <f>'DGNB matrice'!C194</f>
        <v>1.</v>
      </c>
      <c r="C207" s="661" t="str">
        <f>'DGNB matrice'!D194</f>
        <v>Bærende konstruktioner</v>
      </c>
      <c r="D207" s="635" t="str">
        <f>IF('Sortering af spørgsmål'!C25="Ikke relevant","-",IF('Sortering af spørgsmål'!C25="Vælg fra rullemenu:","Mangler svar",Arbejdsark!K424))</f>
        <v>Mangler svar</v>
      </c>
      <c r="E207" s="635" t="str">
        <f>IF('Sortering af spørgsmål'!C25="Ikke relevant","-",IF('Sortering af spørgsmål'!C25="Vælg fra rullemenu:","Mangler svar",Arbejdsark!N424))</f>
        <v>Mangler svar</v>
      </c>
      <c r="F207" s="642" t="str">
        <f>IF('Sortering af spørgsmål'!C25=Projektforudsætninger!$C$20,'Dialogpart 1'!K126,IF('Sortering af spørgsmål'!C25=Projektforudsætninger!$C$21,'Dialogpart 2'!K126,IF('Sortering af spørgsmål'!C25=Projektforudsætninger!$C$22,'Dialogpart 3'!K126,IF('Sortering af spørgsmål'!C25=Projektforudsætninger!$C$23,'Dialogpart 4'!K126,IF('Sortering af spørgsmål'!C25=Projektforudsætninger!$C$24,'Dialogpart 5'!K126,IF('Sortering af spørgsmål'!C25=Projektforudsætninger!$C$25,'Dialogpart 6'!K126,IF('Sortering af spørgsmål'!C25=Projektforudsætninger!$C$26,'Dialogpart 7'!K126,"")))))))</f>
        <v/>
      </c>
    </row>
    <row r="208" spans="1:6" x14ac:dyDescent="0.45">
      <c r="A208" s="659"/>
      <c r="B208" s="661" t="str">
        <f>'DGNB matrice'!C195</f>
        <v>2.</v>
      </c>
      <c r="C208" s="661" t="str">
        <f>'DGNB matrice'!D195</f>
        <v>Vinduer og glasfacade</v>
      </c>
      <c r="D208" s="635" t="str">
        <f>IF('Sortering af spørgsmål'!C25="Ikke relevant","-",IF('Sortering af spørgsmål'!C25="Vælg fra rullemenu:","Mangler svar",Arbejdsark!K429))</f>
        <v>Mangler svar</v>
      </c>
      <c r="E208" s="635" t="str">
        <f>IF('Sortering af spørgsmål'!C25="Ikke relevant","-",IF('Sortering af spørgsmål'!C25="Vælg fra rullemenu:","Mangler svar",Arbejdsark!N429))</f>
        <v>Mangler svar</v>
      </c>
      <c r="F208" s="642" t="str">
        <f>IF('Sortering af spørgsmål'!C25=Projektforudsætninger!$C$20,'Dialogpart 1'!K127,IF('Sortering af spørgsmål'!C25=Projektforudsætninger!$C$21,'Dialogpart 2'!K127,IF('Sortering af spørgsmål'!C25=Projektforudsætninger!$C$22,'Dialogpart 3'!K127,IF('Sortering af spørgsmål'!C25=Projektforudsætninger!$C$23,'Dialogpart 4'!K127,IF('Sortering af spørgsmål'!C25=Projektforudsætninger!$C$24,'Dialogpart 5'!K127,IF('Sortering af spørgsmål'!C25=Projektforudsætninger!$C$25,'Dialogpart 6'!K127,IF('Sortering af spørgsmål'!C25=Projektforudsætninger!$C$26,'Dialogpart 7'!K127,"")))))))</f>
        <v/>
      </c>
    </row>
    <row r="209" spans="1:6" x14ac:dyDescent="0.45">
      <c r="A209" s="659"/>
      <c r="B209" s="661" t="str">
        <f>'DGNB matrice'!C196</f>
        <v>3.1</v>
      </c>
      <c r="C209" s="661" t="str">
        <f>'DGNB matrice'!D196</f>
        <v>Gulvbelægning</v>
      </c>
      <c r="D209" s="635" t="str">
        <f>IF('Sortering af spørgsmål'!C25="Ikke relevant","-",IF('Sortering af spørgsmål'!C25="Vælg fra rullemenu:","Mangler svar",Arbejdsark!K434))</f>
        <v>Mangler svar</v>
      </c>
      <c r="E209" s="635" t="str">
        <f>IF('Sortering af spørgsmål'!C25="Ikke relevant","-",IF('Sortering af spørgsmål'!C25="Vælg fra rullemenu:","Mangler svar",Arbejdsark!N434))</f>
        <v>Mangler svar</v>
      </c>
      <c r="F209" s="642" t="str">
        <f>IF('Sortering af spørgsmål'!C25=Projektforudsætninger!$C$20,'Dialogpart 1'!K128,IF('Sortering af spørgsmål'!C25=Projektforudsætninger!$C$21,'Dialogpart 2'!K128,IF('Sortering af spørgsmål'!C25=Projektforudsætninger!$C$22,'Dialogpart 3'!K128,IF('Sortering af spørgsmål'!C25=Projektforudsætninger!$C$23,'Dialogpart 4'!K128,IF('Sortering af spørgsmål'!C25=Projektforudsætninger!$C$24,'Dialogpart 5'!K128,IF('Sortering af spørgsmål'!C25=Projektforudsætninger!$C$25,'Dialogpart 6'!K128,IF('Sortering af spørgsmål'!C25=Projektforudsætninger!$C$26,'Dialogpart 7'!K128,"")))))))</f>
        <v/>
      </c>
    </row>
    <row r="210" spans="1:6" x14ac:dyDescent="0.45">
      <c r="A210" s="659"/>
      <c r="B210" s="661" t="str">
        <f>'DGNB matrice'!C197</f>
        <v>3.2</v>
      </c>
      <c r="C210" s="661" t="str">
        <f>'DGNB matrice'!D197</f>
        <v>Smudsopsamlingszone</v>
      </c>
      <c r="D210" s="635" t="str">
        <f>IF('Sortering af spørgsmål'!C25="Ikke relevant","-",IF('Sortering af spørgsmål'!C25="Vælg fra rullemenu:","Mangler svar",Arbejdsark!K439))</f>
        <v>Mangler svar</v>
      </c>
      <c r="E210" s="635" t="str">
        <f>IF('Sortering af spørgsmål'!C25="Ikke relevant","-",IF('Sortering af spørgsmål'!C25="Vælg fra rullemenu:","Mangler svar",Arbejdsark!N439))</f>
        <v>Mangler svar</v>
      </c>
      <c r="F210" s="642" t="str">
        <f>IF('Sortering af spørgsmål'!C25=Projektforudsætninger!$C$20,'Dialogpart 1'!K129,IF('Sortering af spørgsmål'!C25=Projektforudsætninger!$C$21,'Dialogpart 2'!K129,IF('Sortering af spørgsmål'!C25=Projektforudsætninger!$C$22,'Dialogpart 3'!K129,IF('Sortering af spørgsmål'!C25=Projektforudsætninger!$C$23,'Dialogpart 4'!K129,IF('Sortering af spørgsmål'!C25=Projektforudsætninger!$C$24,'Dialogpart 5'!K129,IF('Sortering af spørgsmål'!C25=Projektforudsætninger!$C$25,'Dialogpart 6'!K129,IF('Sortering af spørgsmål'!C25=Projektforudsætninger!$C$26,'Dialogpart 7'!K129,"")))))))</f>
        <v/>
      </c>
    </row>
    <row r="211" spans="1:6" x14ac:dyDescent="0.45">
      <c r="A211" s="659"/>
      <c r="B211" s="661" t="str">
        <f>'DGNB matrice'!C198</f>
        <v>3.3</v>
      </c>
      <c r="C211" s="661" t="str">
        <f>'DGNB matrice'!D198</f>
        <v>Rengøringsvenlig indretning</v>
      </c>
      <c r="D211" s="635" t="str">
        <f>IF('Sortering af spørgsmål'!C25="Ikke relevant","-",IF('Sortering af spørgsmål'!C25="Vælg fra rullemenu:","Mangler svar",Arbejdsark!K444))</f>
        <v>Mangler svar</v>
      </c>
      <c r="E211" s="635" t="str">
        <f>IF('Sortering af spørgsmål'!C25="Ikke relevant","-",IF('Sortering af spørgsmål'!C25="Vælg fra rullemenu:","Mangler svar",Arbejdsark!N444))</f>
        <v>Mangler svar</v>
      </c>
      <c r="F211" s="642" t="str">
        <f>IF('Sortering af spørgsmål'!C25=Projektforudsætninger!$C$20,'Dialogpart 1'!K130,IF('Sortering af spørgsmål'!C25=Projektforudsætninger!$C$21,'Dialogpart 2'!K130,IF('Sortering af spørgsmål'!C25=Projektforudsætninger!$C$22,'Dialogpart 3'!K130,IF('Sortering af spørgsmål'!C25=Projektforudsætninger!$C$23,'Dialogpart 4'!K130,IF('Sortering af spørgsmål'!C25=Projektforudsætninger!$C$24,'Dialogpart 5'!K130,IF('Sortering af spørgsmål'!C25=Projektforudsætninger!$C$25,'Dialogpart 6'!K130,IF('Sortering af spørgsmål'!C25=Projektforudsætninger!$C$26,'Dialogpart 7'!K130,"")))))))</f>
        <v/>
      </c>
    </row>
    <row r="212" spans="1:6" x14ac:dyDescent="0.45">
      <c r="A212" s="662"/>
      <c r="B212" s="663"/>
      <c r="C212" s="663"/>
      <c r="D212" s="635" t="str">
        <f>IF('Sortering af spørgsmål'!C25="Ikke relevant","-",IF('Sortering af spørgsmål'!C25="Vælg fra rullemenu:","Mangler svar",Arbejdsark!K449))</f>
        <v>Mangler svar</v>
      </c>
      <c r="E212" s="635" t="str">
        <f>IF('Sortering af spørgsmål'!C25="Ikke relevant","-",IF('Sortering af spørgsmål'!C25="Vælg fra rullemenu:","Mangler svar",Arbejdsark!N449))</f>
        <v>Mangler svar</v>
      </c>
      <c r="F212" s="642" t="str">
        <f>IF('Sortering af spørgsmål'!C25=Projektforudsætninger!$C$20,'Dialogpart 1'!K131,IF('Sortering af spørgsmål'!C25=Projektforudsætninger!$C$21,'Dialogpart 2'!K131,IF('Sortering af spørgsmål'!C25=Projektforudsætninger!$C$22,'Dialogpart 3'!K131,IF('Sortering af spørgsmål'!C25=Projektforudsætninger!$C$23,'Dialogpart 4'!K131,IF('Sortering af spørgsmål'!C25=Projektforudsætninger!$C$24,'Dialogpart 5'!K131,IF('Sortering af spørgsmål'!C25=Projektforudsætninger!$C$25,'Dialogpart 6'!K131,IF('Sortering af spørgsmål'!C25=Projektforudsætninger!$C$26,'Dialogpart 7'!K131,"")))))))</f>
        <v/>
      </c>
    </row>
    <row r="213" spans="1:6" x14ac:dyDescent="0.45">
      <c r="A213" s="660"/>
      <c r="B213" s="661" t="str">
        <f>'DGNB matrice'!C199</f>
        <v>3.4</v>
      </c>
      <c r="C213" s="661" t="str">
        <f>'DGNB matrice'!D199</f>
        <v>Ventilationssystemets indblæsningskanaler</v>
      </c>
      <c r="D213" s="640"/>
      <c r="E213" s="640"/>
      <c r="F213" s="641"/>
    </row>
    <row r="214" spans="1:6" ht="34.9" x14ac:dyDescent="0.45">
      <c r="A214" s="654" t="str">
        <f>'DGNB matrice'!B200</f>
        <v>TEC1.6</v>
      </c>
      <c r="B214" s="654" t="str">
        <f>'DGNB matrice'!C200</f>
        <v>Egnethed med henblik på nedtagning og genanvendelse</v>
      </c>
      <c r="C214" s="655"/>
      <c r="D214" s="640" t="str">
        <f>IF('Sortering af spørgsmål'!C6="Ikke relevant","-",IF('Sortering af spørgsmål'!C6="Vælg fra rullemenu:","Mangler svar",Arbejdsark!K4))</f>
        <v>Mangler svar</v>
      </c>
      <c r="E214" s="643" t="str">
        <f>IF('Sortering af spørgsmål'!C6="Ikke relevant","-",IF('Sortering af spørgsmål'!C6="Vælg fra rullemenu:","Mangler svar",Arbejdsark!N4))</f>
        <v>Mangler svar</v>
      </c>
      <c r="F214" s="644" t="str">
        <f>IF('Sortering af spørgsmål'!C6=Projektforudsætninger!C20,'Dialogpart 1'!K6,IF('Sortering af spørgsmål'!C6=Projektforudsætninger!C21,'Dialogpart 2'!K6,IF('Sortering af spørgsmål'!C6=Projektforudsætninger!C22,'Dialogpart 3'!K6,IF('Sortering af spørgsmål'!C6=Projektforudsætninger!C23,'Dialogpart 4'!K6,IF('Sortering af spørgsmål'!C6=Projektforudsætninger!C24,'Dialogpart 5'!K6,IF('Sortering af spørgsmål'!C6=Projektforudsætninger!C25,'Dialogpart 6'!K6,IF('Sortering af spørgsmål'!C6=Projektforudsætninger!C26,'Dialogpart 7'!K6,"")))))))</f>
        <v/>
      </c>
    </row>
    <row r="215" spans="1:6" ht="23.25" x14ac:dyDescent="0.45">
      <c r="A215" s="656"/>
      <c r="B215" s="661" t="str">
        <f>'DGNB matrice'!C201</f>
        <v>1.</v>
      </c>
      <c r="C215" s="661" t="str">
        <f>'DGNB matrice'!D201</f>
        <v>Arbejdsindsats ved nedtagning af bygningsdelen</v>
      </c>
      <c r="D215" s="640"/>
      <c r="E215" s="640"/>
      <c r="F215" s="641"/>
    </row>
    <row r="216" spans="1:6" x14ac:dyDescent="0.45">
      <c r="A216" s="659"/>
      <c r="B216" s="661" t="str">
        <f>'DGNB matrice'!C202</f>
        <v>2.1</v>
      </c>
      <c r="C216" s="661" t="str">
        <f>'DGNB matrice'!D202</f>
        <v>Koncept for nedtagning og genanvendelse</v>
      </c>
      <c r="D216" s="640"/>
      <c r="E216" s="640"/>
      <c r="F216" s="641"/>
    </row>
    <row r="217" spans="1:6" ht="23.25" x14ac:dyDescent="0.45">
      <c r="A217" s="660"/>
      <c r="B217" s="661" t="str">
        <f>'DGNB matrice'!C203</f>
        <v>2.2</v>
      </c>
      <c r="C217" s="661" t="str">
        <f>'DGNB matrice'!D203</f>
        <v>Vurdering af materialernes ressourceudnyttelse</v>
      </c>
      <c r="D217" s="640"/>
      <c r="E217" s="640"/>
      <c r="F217" s="641"/>
    </row>
    <row r="218" spans="1:6" x14ac:dyDescent="0.45">
      <c r="A218" s="665" t="str">
        <f>'DGNB matrice'!B204</f>
        <v>TEC1.7</v>
      </c>
      <c r="B218" s="654" t="str">
        <f>'DGNB matrice'!C204</f>
        <v>Commissioning</v>
      </c>
      <c r="C218" s="655"/>
      <c r="D218" s="635" t="str">
        <f>IF('Sortering af spørgsmål'!C33="Ikke relevant","-",IF('Sortering af spørgsmål'!C33="Vælg fra rullemenu:","Mangler svar",Arbejdsark!K455))</f>
        <v>Mangler svar</v>
      </c>
      <c r="E218" s="635" t="str">
        <f>IF('Sortering af spørgsmål'!C33="Ikke relevant","-",IF('Sortering af spørgsmål'!C33="Vælg fra rullemenu:","Mangler svar",Arbejdsark!N455))</f>
        <v>Mangler svar</v>
      </c>
      <c r="F218" s="642" t="str">
        <f>IF('Sortering af spørgsmål'!C33=Projektforudsætninger!$C$20,'Dialogpart 1'!K134,IF('Sortering af spørgsmål'!C33=Projektforudsætninger!$C$21,'Dialogpart 2'!K133,IF('Sortering af spørgsmål'!C33=Projektforudsætninger!$C$22,'Dialogpart 3'!K133,IF('Sortering af spørgsmål'!C33=Projektforudsætninger!$C$23,'Dialogpart 4'!K133,IF('Sortering af spørgsmål'!C33=Projektforudsætninger!$C$24,'Dialogpart 5'!K133,IF('Sortering af spørgsmål'!C33=Projektforudsætninger!$C$25,'Dialogpart 6'!K133,IF('Sortering af spørgsmål'!C33=Projektforudsætninger!$C$26,'Dialogpart 7'!K133,"")))))))</f>
        <v/>
      </c>
    </row>
    <row r="219" spans="1:6" ht="23.25" x14ac:dyDescent="0.45">
      <c r="A219" s="656"/>
      <c r="B219" s="661" t="str">
        <f>'DGNB matrice'!C205</f>
        <v>1.</v>
      </c>
      <c r="C219" s="661" t="str">
        <f>'DGNB matrice'!D205</f>
        <v>Måling og registrering, indregulering og performance-test</v>
      </c>
      <c r="D219" s="640"/>
      <c r="E219" s="640"/>
      <c r="F219" s="641"/>
    </row>
    <row r="220" spans="1:6" ht="34.9" x14ac:dyDescent="0.45">
      <c r="A220" s="659"/>
      <c r="B220" s="661" t="str">
        <f>'DGNB matrice'!C206</f>
        <v>2.</v>
      </c>
      <c r="C220" s="661" t="str">
        <f>'DGNB matrice'!D206</f>
        <v>Commissioning-processen</v>
      </c>
      <c r="D220" s="635" t="str">
        <f>Projektforudsætninger!A46</f>
        <v>Hvilke interessenter skal sikre systematisk idriftsættelse og eventuel opfølgning i driftsfasen?</v>
      </c>
      <c r="E220" s="635"/>
      <c r="F220" s="642" t="str">
        <f>IF(Projektforudsætninger!C46="Beskriv hvem der skal sikre systematisk idriftsættelse f.eks. bygherres drift/vicevært, bygherrerådgiver, rådgiveren eller entreprenøren). Der kan godt være forskellige interessenter ved aflevering og i driftsfasen.","",Projektforudsætninger!C46)</f>
        <v/>
      </c>
    </row>
    <row r="221" spans="1:6" ht="69.75" x14ac:dyDescent="0.45">
      <c r="A221" s="662"/>
      <c r="B221" s="671"/>
      <c r="C221" s="665"/>
      <c r="D221" s="635" t="str">
        <f>Projektforudsætninger!A47</f>
        <v>Skal der ske opfølgning på de idriftsatte installationer i det første år af byggeriets drift ('re-commissioning') og hvem skal være ansvarlig for denne opfølgning?</v>
      </c>
      <c r="E221" s="635" t="str">
        <f>IF(Projektforudsætninger!C47="Vælg fra rullemenu","Mangler svar",Projektforudsætninger!C47)</f>
        <v>Mangler svar</v>
      </c>
      <c r="F221" s="642" t="str">
        <f>IF(Projektforudsætninger!D47="","",Projektforudsætninger!D47)</f>
        <v/>
      </c>
    </row>
    <row r="222" spans="1:6" ht="34.9" x14ac:dyDescent="0.45">
      <c r="A222" s="674" t="str">
        <f>'DGNB matrice'!B207</f>
        <v>TEC1.8</v>
      </c>
      <c r="B222" s="654" t="str">
        <f>'DGNB matrice'!C207</f>
        <v>Dokumentation med miljøvaredeklerationer (EPD)</v>
      </c>
      <c r="C222" s="664"/>
      <c r="D222" s="635"/>
      <c r="E222" s="635"/>
      <c r="F222" s="642"/>
    </row>
    <row r="223" spans="1:6" x14ac:dyDescent="0.45">
      <c r="A223" s="675" t="s">
        <v>96</v>
      </c>
      <c r="B223" s="676" t="s">
        <v>456</v>
      </c>
      <c r="C223" s="675"/>
      <c r="D223" s="635"/>
      <c r="E223" s="635"/>
      <c r="F223" s="642"/>
    </row>
    <row r="224" spans="1:6" x14ac:dyDescent="0.45">
      <c r="A224" s="677"/>
      <c r="B224" s="639" t="s">
        <v>238</v>
      </c>
      <c r="C224" s="639" t="s">
        <v>457</v>
      </c>
      <c r="D224" s="635"/>
      <c r="E224" s="635"/>
      <c r="F224" s="642"/>
    </row>
    <row r="225" spans="1:6" x14ac:dyDescent="0.45">
      <c r="A225" s="678"/>
      <c r="B225" s="639" t="s">
        <v>240</v>
      </c>
      <c r="C225" s="639" t="s">
        <v>458</v>
      </c>
      <c r="D225" s="635"/>
      <c r="E225" s="635"/>
      <c r="F225" s="642"/>
    </row>
    <row r="226" spans="1:6" ht="50.25" customHeight="1" x14ac:dyDescent="0.45">
      <c r="A226" s="678"/>
      <c r="B226" s="639" t="s">
        <v>242</v>
      </c>
      <c r="C226" s="639" t="s">
        <v>459</v>
      </c>
      <c r="D226" s="635" t="str">
        <f>Projektforudsætninger!A50</f>
        <v xml:space="preserve">Forventes det, at der vil være risiko for oversvømmelse fra enten regnvand, spildevand eller havvand på byggegrunden? </v>
      </c>
      <c r="E226" s="635" t="str">
        <f>IF(Projektforudsætninger!C50="Vælg fra rullemenu","",Projektforudsætninger!C50)</f>
        <v/>
      </c>
      <c r="F226" s="642" t="str">
        <f>IF(Projektforudsætninger!C50="Ja",Projektforudsætninger!#REF!,"")</f>
        <v/>
      </c>
    </row>
    <row r="227" spans="1:6" ht="24" customHeight="1" x14ac:dyDescent="0.45">
      <c r="A227" s="678"/>
      <c r="B227" s="639" t="s">
        <v>396</v>
      </c>
      <c r="C227" s="639" t="s">
        <v>460</v>
      </c>
      <c r="D227" s="635" t="str">
        <f>Projektforudsætninger!A51</f>
        <v>Har bygherre kendskab til indholdet af finstøv, ozon og CO2 i udeluften?</v>
      </c>
      <c r="E227" s="635" t="str">
        <f>IF(Projektforudsætninger!C51="Vælg fra rullemenu","",Projektforudsætninger!C51)</f>
        <v/>
      </c>
      <c r="F227" s="642" t="str">
        <f>IF(Projektforudsætninger!C51="Ja",Projektforudsætninger!#REF!,"")</f>
        <v/>
      </c>
    </row>
    <row r="228" spans="1:6" x14ac:dyDescent="0.45">
      <c r="A228" s="678"/>
      <c r="B228" s="639" t="s">
        <v>398</v>
      </c>
      <c r="C228" s="639" t="s">
        <v>461</v>
      </c>
      <c r="D228" s="635" t="str">
        <f t="shared" ref="D228:F229" si="0">"-"</f>
        <v>-</v>
      </c>
      <c r="E228" s="635" t="str">
        <f t="shared" si="0"/>
        <v>-</v>
      </c>
      <c r="F228" s="635" t="str">
        <f t="shared" si="0"/>
        <v>-</v>
      </c>
    </row>
    <row r="229" spans="1:6" x14ac:dyDescent="0.45">
      <c r="A229" s="678"/>
      <c r="B229" s="639" t="s">
        <v>462</v>
      </c>
      <c r="C229" s="639" t="s">
        <v>463</v>
      </c>
      <c r="D229" s="635" t="str">
        <f t="shared" si="0"/>
        <v>-</v>
      </c>
      <c r="E229" s="635" t="str">
        <f t="shared" si="0"/>
        <v>-</v>
      </c>
      <c r="F229" s="635" t="str">
        <f t="shared" si="0"/>
        <v>-</v>
      </c>
    </row>
    <row r="230" spans="1:6" ht="27" customHeight="1" x14ac:dyDescent="0.45">
      <c r="A230" s="678"/>
      <c r="B230" s="639" t="s">
        <v>246</v>
      </c>
      <c r="C230" s="639" t="s">
        <v>464</v>
      </c>
      <c r="D230" s="635" t="str">
        <f>Projektforudsætninger!A52</f>
        <v>Er det udendørs støjniveau for byggefeltet kortlagt?</v>
      </c>
      <c r="E230" s="635" t="str">
        <f>IF(Projektforudsætninger!C52="Vælg fra rullemenu","",Projektforudsætninger!C52)</f>
        <v/>
      </c>
      <c r="F230" s="642" t="str">
        <f>IF(Projektforudsætninger!C52="Ja",Projektforudsætninger!#REF!,"")</f>
        <v/>
      </c>
    </row>
    <row r="231" spans="1:6" ht="25.5" customHeight="1" x14ac:dyDescent="0.45">
      <c r="A231" s="678"/>
      <c r="B231" s="639" t="s">
        <v>275</v>
      </c>
      <c r="C231" s="639" t="s">
        <v>465</v>
      </c>
      <c r="D231" s="635" t="str">
        <f>Projektforudsætninger!A35</f>
        <v>Er der registreret forurening på grunden?</v>
      </c>
      <c r="E231" s="635" t="str">
        <f>IF(Projektforudsætninger!C35="Vælg fra rullemenu","",Projektforudsætninger!C35)</f>
        <v/>
      </c>
      <c r="F231" s="642"/>
    </row>
    <row r="232" spans="1:6" ht="25.5" customHeight="1" x14ac:dyDescent="0.45">
      <c r="A232" s="662"/>
      <c r="B232" s="663"/>
      <c r="C232" s="664"/>
      <c r="D232" s="635" t="str">
        <f>IF(Projektforudsætninger!C35="Ja",Projektforudsætninger!A36,"")</f>
        <v/>
      </c>
      <c r="E232" s="635"/>
      <c r="F232" s="642"/>
    </row>
    <row r="233" spans="1:6" ht="51" customHeight="1" x14ac:dyDescent="0.45">
      <c r="A233" s="678"/>
      <c r="B233" s="639" t="s">
        <v>290</v>
      </c>
      <c r="C233" s="639" t="s">
        <v>466</v>
      </c>
      <c r="D233" s="635" t="str">
        <f>Projektforudsætninger!A54</f>
        <v>Har bygherre kendskab til elektromagnetiske felter og højspændingsledninger i området omkring byggefeltet?</v>
      </c>
      <c r="E233" s="635" t="str">
        <f>IF(Projektforudsætninger!C54="Vælg fra rullemenu","",Projektforudsætninger!C54)</f>
        <v/>
      </c>
      <c r="F233" s="642"/>
    </row>
    <row r="234" spans="1:6" ht="48" customHeight="1" x14ac:dyDescent="0.45">
      <c r="A234" s="679"/>
      <c r="B234" s="639" t="s">
        <v>292</v>
      </c>
      <c r="C234" s="639" t="s">
        <v>467</v>
      </c>
      <c r="D234" s="635" t="str">
        <f>Projektforudsætninger!A53</f>
        <v>Hvilken radonklasse er byggefeltet eller området klassificeret som på http://boligejer.dk/guide-radon/0/26?</v>
      </c>
      <c r="E234" s="635" t="str">
        <f>IF(Projektforudsætninger!C53="Vælg fra rullemenu:","",Projektforudsætninger!C53)</f>
        <v/>
      </c>
      <c r="F234" s="642"/>
    </row>
    <row r="235" spans="1:6" ht="34.9" x14ac:dyDescent="0.45">
      <c r="A235" s="675" t="s">
        <v>107</v>
      </c>
      <c r="B235" s="676" t="s">
        <v>468</v>
      </c>
      <c r="C235" s="675"/>
      <c r="D235" s="635" t="str">
        <f>Projektforudsætninger!A55</f>
        <v>Er området for byggefeltet præget af kriminalitet?</v>
      </c>
      <c r="E235" s="635" t="str">
        <f>IF(Projektforudsætninger!C55="Vælg fra rullemenu","",Projektforudsætninger!C55)</f>
        <v/>
      </c>
      <c r="F235" s="642"/>
    </row>
    <row r="236" spans="1:6" x14ac:dyDescent="0.45">
      <c r="A236" s="680"/>
      <c r="B236" s="639" t="s">
        <v>238</v>
      </c>
      <c r="C236" s="639" t="s">
        <v>469</v>
      </c>
      <c r="D236" s="635"/>
      <c r="E236" s="635"/>
      <c r="F236" s="642"/>
    </row>
    <row r="237" spans="1:6" x14ac:dyDescent="0.45">
      <c r="A237" s="681"/>
      <c r="B237" s="639" t="s">
        <v>240</v>
      </c>
      <c r="C237" s="639" t="s">
        <v>470</v>
      </c>
      <c r="D237" s="635"/>
      <c r="E237" s="635"/>
      <c r="F237" s="642"/>
    </row>
    <row r="238" spans="1:6" x14ac:dyDescent="0.45">
      <c r="A238" s="675" t="s">
        <v>110</v>
      </c>
      <c r="B238" s="676" t="s">
        <v>471</v>
      </c>
      <c r="C238" s="675"/>
      <c r="D238" s="635"/>
      <c r="E238" s="635"/>
      <c r="F238" s="642"/>
    </row>
    <row r="239" spans="1:6" ht="34.9" x14ac:dyDescent="0.45">
      <c r="A239" s="680"/>
      <c r="B239" s="639" t="s">
        <v>238</v>
      </c>
      <c r="C239" s="639" t="s">
        <v>472</v>
      </c>
      <c r="D239" s="635"/>
      <c r="E239" s="635"/>
      <c r="F239" s="642"/>
    </row>
    <row r="240" spans="1:6" x14ac:dyDescent="0.45">
      <c r="A240" s="682"/>
      <c r="B240" s="639" t="s">
        <v>240</v>
      </c>
      <c r="C240" s="639" t="s">
        <v>473</v>
      </c>
      <c r="D240" s="635"/>
      <c r="E240" s="635"/>
      <c r="F240" s="642"/>
    </row>
    <row r="241" spans="1:6" x14ac:dyDescent="0.45">
      <c r="A241" s="682"/>
      <c r="B241" s="639" t="s">
        <v>242</v>
      </c>
      <c r="C241" s="639" t="s">
        <v>474</v>
      </c>
      <c r="D241" s="635"/>
      <c r="E241" s="635"/>
      <c r="F241" s="642"/>
    </row>
    <row r="242" spans="1:6" ht="28.5" customHeight="1" x14ac:dyDescent="0.45">
      <c r="A242" s="682"/>
      <c r="B242" s="639" t="s">
        <v>246</v>
      </c>
      <c r="C242" s="639" t="s">
        <v>475</v>
      </c>
      <c r="D242" s="635" t="str">
        <f>Projektforudsætninger!A57</f>
        <v>Stilles særlige krav om faciliteter for bilister?</v>
      </c>
      <c r="E242" s="635"/>
      <c r="F242" s="642" t="str">
        <f>IF(Projektforudsætninger!C57="Beskriv krav. Eks. Ladestandere til elbiler, afsætningsområde (kiss'n'ride) etc.","",Projektforudsætninger!C57)</f>
        <v/>
      </c>
    </row>
    <row r="243" spans="1:6" ht="30.75" customHeight="1" x14ac:dyDescent="0.45">
      <c r="A243" s="681"/>
      <c r="B243" s="639" t="s">
        <v>275</v>
      </c>
      <c r="C243" s="639" t="s">
        <v>476</v>
      </c>
      <c r="D243" s="635" t="str">
        <f>Projektforudsætninger!A56</f>
        <v>Hvilke krav stilles til projektets parkeringsmuligheder?</v>
      </c>
      <c r="E243" s="635"/>
      <c r="F243" s="642" t="str">
        <f>IF(Projektforudsætninger!C56="Beskriv krav. Eks. antal og placering af almindelig parkeringspladser, handikapparkering og cykelparkering.","",Projektforudsætninger!C56)</f>
        <v/>
      </c>
    </row>
    <row r="244" spans="1:6" ht="39" customHeight="1" x14ac:dyDescent="0.45">
      <c r="A244" s="683" t="s">
        <v>115</v>
      </c>
      <c r="B244" s="684" t="s">
        <v>477</v>
      </c>
      <c r="C244" s="683"/>
      <c r="D244" s="645" t="str">
        <f>Projektforudsætninger!A58</f>
        <v>Stiller bygherre krav om, at der skal indarbejdes servicefunktioner i byggeriet eller på byggegrunden?</v>
      </c>
      <c r="E244" s="645" t="str">
        <f>IF(Projektforudsætninger!C58="Vælg fra rullemenu","",Projektforudsætninger!C58)</f>
        <v/>
      </c>
      <c r="F244" s="646" t="str">
        <f>IF(Projektforudsætninger!C58="Ja",Projektforudsætninger!#REF!,"")</f>
        <v/>
      </c>
    </row>
    <row r="245" spans="1:6" x14ac:dyDescent="0.45">
      <c r="A245" s="802"/>
      <c r="B245" s="685" t="s">
        <v>238</v>
      </c>
      <c r="C245" s="686" t="s">
        <v>478</v>
      </c>
      <c r="D245" s="647"/>
      <c r="E245" s="647"/>
      <c r="F245" s="647"/>
    </row>
    <row r="246" spans="1:6" x14ac:dyDescent="0.45">
      <c r="A246" s="802"/>
      <c r="B246" s="687"/>
      <c r="C246" s="636" t="s">
        <v>479</v>
      </c>
      <c r="D246" s="647"/>
      <c r="E246" s="647"/>
      <c r="F246" s="647"/>
    </row>
    <row r="247" spans="1:6" ht="14.65" thickBot="1" x14ac:dyDescent="0.5">
      <c r="A247" s="803"/>
      <c r="B247" s="688" t="s">
        <v>480</v>
      </c>
      <c r="C247" s="689" t="s">
        <v>481</v>
      </c>
      <c r="D247" s="647"/>
      <c r="E247" s="647"/>
      <c r="F247" s="647"/>
    </row>
  </sheetData>
  <sheetProtection sheet="1" selectLockedCells="1"/>
  <mergeCells count="6">
    <mergeCell ref="A2:E2"/>
    <mergeCell ref="A4:E4"/>
    <mergeCell ref="A5:E5"/>
    <mergeCell ref="A245:A247"/>
    <mergeCell ref="A6:F6"/>
    <mergeCell ref="A8:D8"/>
  </mergeCells>
  <pageMargins left="0.70866141732283472" right="0.70866141732283472" top="0.74803149606299213" bottom="0.74803149606299213" header="0.31496062992125984" footer="0.31496062992125984"/>
  <pageSetup paperSize="8" scale="69" fitToHeight="0" orientation="portrait" r:id="rId1"/>
  <headerFooter>
    <oddHeader xml:space="preserve">&amp;CUDBUD
</oddHeader>
  </headerFooter>
  <tableParts count="1">
    <tablePart r:id="rId2"/>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0">
    <tabColor theme="1"/>
  </sheetPr>
  <dimension ref="A1:W693"/>
  <sheetViews>
    <sheetView zoomScale="85" zoomScaleNormal="85" workbookViewId="0">
      <pane xSplit="4" ySplit="1" topLeftCell="H14" activePane="bottomRight" state="frozen"/>
      <selection pane="topRight" activeCell="E1" sqref="E1"/>
      <selection pane="bottomLeft" activeCell="A2" sqref="A2"/>
      <selection pane="bottomRight" activeCell="K15" sqref="K15"/>
    </sheetView>
  </sheetViews>
  <sheetFormatPr defaultColWidth="8.73046875" defaultRowHeight="14.25" outlineLevelRow="1" x14ac:dyDescent="0.45"/>
  <cols>
    <col min="1" max="1" width="18.73046875" style="212" bestFit="1" customWidth="1"/>
    <col min="2" max="2" width="4.265625" style="212" customWidth="1"/>
    <col min="3" max="3" width="37.265625" style="707" bestFit="1" customWidth="1"/>
    <col min="4" max="4" width="18" style="707" customWidth="1"/>
    <col min="5" max="7" width="17.73046875" style="214" hidden="1" customWidth="1"/>
    <col min="8" max="8" width="17.73046875" style="214" customWidth="1"/>
    <col min="9" max="9" width="16.265625" style="715" hidden="1" customWidth="1"/>
    <col min="10" max="10" width="12.265625" style="715" hidden="1" customWidth="1"/>
    <col min="11" max="11" width="59" style="707" customWidth="1"/>
    <col min="12" max="12" width="42.86328125" style="707" customWidth="1"/>
    <col min="13" max="13" width="8.73046875" style="741" customWidth="1"/>
    <col min="14" max="16" width="9" style="741" customWidth="1"/>
    <col min="17" max="17" width="8.73046875" style="710" customWidth="1"/>
    <col min="18" max="19" width="19" style="649" hidden="1" customWidth="1"/>
    <col min="20" max="20" width="19" style="712" hidden="1" customWidth="1"/>
    <col min="21" max="21" width="12.73046875" style="649" hidden="1" customWidth="1"/>
    <col min="22" max="22" width="8.73046875" style="707" customWidth="1"/>
    <col min="23" max="23" width="19.73046875" style="708" hidden="1" customWidth="1"/>
    <col min="24" max="63" width="8.73046875" style="708" customWidth="1"/>
    <col min="64" max="16384" width="8.73046875" style="708"/>
  </cols>
  <sheetData>
    <row r="1" spans="1:23" ht="57" x14ac:dyDescent="0.45">
      <c r="A1" s="209" t="s">
        <v>167</v>
      </c>
      <c r="B1" s="209" t="s">
        <v>179</v>
      </c>
      <c r="C1" s="209" t="s">
        <v>118</v>
      </c>
      <c r="D1" s="209" t="s">
        <v>63</v>
      </c>
      <c r="E1" s="210" t="s">
        <v>482</v>
      </c>
      <c r="F1" s="806" t="s">
        <v>483</v>
      </c>
      <c r="G1" s="807"/>
      <c r="H1" s="210" t="s">
        <v>484</v>
      </c>
      <c r="I1" s="211" t="s">
        <v>888</v>
      </c>
      <c r="J1" s="211" t="s">
        <v>889</v>
      </c>
      <c r="K1" s="209" t="s">
        <v>61</v>
      </c>
      <c r="L1" s="209" t="s">
        <v>485</v>
      </c>
      <c r="M1" s="716"/>
      <c r="N1" s="209" t="s">
        <v>486</v>
      </c>
      <c r="O1" s="289" t="s">
        <v>652</v>
      </c>
      <c r="P1" s="298" t="s">
        <v>653</v>
      </c>
      <c r="Q1" s="290"/>
      <c r="R1" s="209" t="s">
        <v>487</v>
      </c>
      <c r="S1" s="209" t="s">
        <v>488</v>
      </c>
      <c r="T1" s="288" t="s">
        <v>942</v>
      </c>
      <c r="U1" s="209" t="s">
        <v>943</v>
      </c>
      <c r="W1" s="212" t="s">
        <v>489</v>
      </c>
    </row>
    <row r="2" spans="1:23" x14ac:dyDescent="0.45">
      <c r="A2" s="209" t="s">
        <v>490</v>
      </c>
      <c r="B2" s="209"/>
      <c r="C2" s="209"/>
      <c r="D2" s="209"/>
      <c r="E2" s="210"/>
      <c r="F2" s="705"/>
      <c r="G2" s="706"/>
      <c r="H2" s="210"/>
      <c r="I2" s="211"/>
      <c r="J2" s="211"/>
      <c r="K2" s="748"/>
      <c r="L2" s="748"/>
      <c r="M2" s="716"/>
      <c r="N2" s="209"/>
      <c r="O2" s="289"/>
      <c r="P2" s="298"/>
      <c r="Q2" s="290"/>
      <c r="R2" s="209"/>
      <c r="S2" s="209"/>
      <c r="T2" s="288"/>
      <c r="U2" s="209"/>
      <c r="W2" s="212"/>
    </row>
    <row r="3" spans="1:23" x14ac:dyDescent="0.45">
      <c r="A3" s="708"/>
      <c r="B3" s="209"/>
      <c r="C3" s="649"/>
      <c r="D3" s="649"/>
      <c r="E3" s="213">
        <f>SUM(E4:E88)</f>
        <v>0.24531070435588515</v>
      </c>
      <c r="F3" s="215">
        <v>50</v>
      </c>
      <c r="G3" s="213"/>
      <c r="H3" s="216">
        <f>SUM(H4:H88)</f>
        <v>50</v>
      </c>
      <c r="I3" s="709"/>
      <c r="J3" s="709"/>
      <c r="K3" s="209"/>
      <c r="L3" s="209"/>
      <c r="M3" s="716"/>
      <c r="N3" s="716"/>
      <c r="O3" s="717"/>
      <c r="P3" s="718"/>
      <c r="R3" s="711">
        <f>SUM(R4:R88)</f>
        <v>0.30000000000000004</v>
      </c>
      <c r="S3" s="711"/>
      <c r="T3" s="712">
        <v>50</v>
      </c>
      <c r="U3" s="209"/>
      <c r="W3" s="708" t="s">
        <v>491</v>
      </c>
    </row>
    <row r="4" spans="1:23" s="604" customFormat="1" ht="256.5" x14ac:dyDescent="0.45">
      <c r="A4" s="598" t="s">
        <v>205</v>
      </c>
      <c r="B4" s="598" t="s">
        <v>253</v>
      </c>
      <c r="C4" s="598" t="s">
        <v>940</v>
      </c>
      <c r="D4" s="598" t="s">
        <v>408</v>
      </c>
      <c r="E4" s="599">
        <f>DGNBvægtning!G198</f>
        <v>1.7307692307692309E-2</v>
      </c>
      <c r="F4" s="600">
        <f>$F$3*G4</f>
        <v>3.5277083307753108</v>
      </c>
      <c r="G4" s="599">
        <f>E4/$E$3</f>
        <v>7.0554166615506217E-2</v>
      </c>
      <c r="H4" s="600">
        <v>4</v>
      </c>
      <c r="I4" s="601" t="s">
        <v>492</v>
      </c>
      <c r="J4" s="601"/>
      <c r="K4" s="598" t="s">
        <v>955</v>
      </c>
      <c r="L4" s="598"/>
      <c r="M4" s="602"/>
      <c r="N4" s="602">
        <f>IF('Sortering af spørgsmål'!$C$6=Projektforudsætninger!$C$20,'Dialogpart 1'!$J$6,IF('Sortering af spørgsmål'!$C$6=Projektforudsætninger!$C$21,'Dialogpart 2'!$J$6,IF('Sortering af spørgsmål'!$C$6=Projektforudsætninger!$C$22,'Dialogpart 3'!$J$6,IF('Sortering af spørgsmål'!$C$6=Projektforudsætninger!$C$23,'Dialogpart 4'!$J$6,IF('Sortering af spørgsmål'!$C$6=Projektforudsætninger!$C$24,'Dialogpart 5'!$J$6,IF('Sortering af spørgsmål'!$C$6=Projektforudsætninger!$C$25,'Dialogpart 6'!$J$6,IF('Sortering af spørgsmål'!$C$6=Projektforudsætninger!$C$22,'Dialogpart 7'!$J$6,IF('Sortering af spørgsmål'!$C$6=Projektforudsætninger!$C$23,#REF!,IF('Sortering af spørgsmål'!$C$6=Projektforudsætninger!$C$24,#REF!,IF('Sortering af spørgsmål'!$C$6=Projektforudsætninger!$C$25,#REF!,0))))))))))</f>
        <v>0</v>
      </c>
      <c r="O4" s="602"/>
      <c r="P4" s="602"/>
      <c r="Q4" s="598"/>
      <c r="R4" s="599">
        <f>'Sortering af spørgsmål'!$E$6*(Arbejdsark!E4/SUM(Arbejdsark!$E$4:$E$20))</f>
        <v>7.7399380804953552E-3</v>
      </c>
      <c r="S4" s="599">
        <f>R4/$R$3</f>
        <v>2.5799793601651182E-2</v>
      </c>
      <c r="T4" s="600">
        <f>$T$3*S4</f>
        <v>1.289989680082559</v>
      </c>
      <c r="U4" s="598"/>
      <c r="V4" s="598"/>
      <c r="W4" s="598" t="s">
        <v>38</v>
      </c>
    </row>
    <row r="5" spans="1:23" s="604" customFormat="1" ht="15" customHeight="1" x14ac:dyDescent="0.45">
      <c r="A5" s="598"/>
      <c r="B5" s="598"/>
      <c r="C5" s="598"/>
      <c r="D5" s="598"/>
      <c r="E5" s="599"/>
      <c r="F5" s="603"/>
      <c r="G5" s="599"/>
      <c r="H5" s="600"/>
      <c r="I5" s="601"/>
      <c r="J5" s="601"/>
      <c r="K5" s="598"/>
      <c r="L5" s="598" t="s">
        <v>654</v>
      </c>
      <c r="M5" s="602">
        <v>1</v>
      </c>
      <c r="N5" s="602"/>
      <c r="O5" s="600">
        <f>ROUND(H4*M5,0)</f>
        <v>4</v>
      </c>
      <c r="P5" s="600">
        <f>O5-O5</f>
        <v>0</v>
      </c>
      <c r="Q5" s="598"/>
      <c r="R5" s="598"/>
      <c r="S5" s="598"/>
      <c r="T5" s="600"/>
      <c r="U5" s="600">
        <f>ROUND(T4*M5,0)</f>
        <v>1</v>
      </c>
      <c r="V5" s="598"/>
      <c r="W5" s="598" t="s">
        <v>493</v>
      </c>
    </row>
    <row r="6" spans="1:23" s="604" customFormat="1" x14ac:dyDescent="0.45">
      <c r="A6" s="598"/>
      <c r="B6" s="598"/>
      <c r="C6" s="598"/>
      <c r="D6" s="598"/>
      <c r="E6" s="599"/>
      <c r="F6" s="603"/>
      <c r="G6" s="599"/>
      <c r="H6" s="600"/>
      <c r="I6" s="601"/>
      <c r="J6" s="601"/>
      <c r="K6" s="598"/>
      <c r="L6" s="598" t="s">
        <v>499</v>
      </c>
      <c r="M6" s="602">
        <v>0.6</v>
      </c>
      <c r="N6" s="602"/>
      <c r="O6" s="600">
        <f>ROUND(H4*M6,0)</f>
        <v>2</v>
      </c>
      <c r="P6" s="600">
        <f>O5-O6</f>
        <v>2</v>
      </c>
      <c r="Q6" s="598"/>
      <c r="R6" s="598"/>
      <c r="S6" s="598"/>
      <c r="T6" s="600"/>
      <c r="U6" s="600">
        <f>ROUND(T4*M6,0)</f>
        <v>1</v>
      </c>
      <c r="V6" s="598"/>
      <c r="W6" s="598" t="s">
        <v>494</v>
      </c>
    </row>
    <row r="7" spans="1:23" s="604" customFormat="1" x14ac:dyDescent="0.45">
      <c r="A7" s="598"/>
      <c r="B7" s="598"/>
      <c r="C7" s="598"/>
      <c r="D7" s="598"/>
      <c r="E7" s="599"/>
      <c r="F7" s="603"/>
      <c r="G7" s="599"/>
      <c r="H7" s="600"/>
      <c r="I7" s="601"/>
      <c r="J7" s="601"/>
      <c r="K7" s="598"/>
      <c r="L7" s="598" t="s">
        <v>495</v>
      </c>
      <c r="M7" s="602">
        <v>0.2</v>
      </c>
      <c r="N7" s="602"/>
      <c r="O7" s="600">
        <f>ROUND(H4*M7,0)</f>
        <v>1</v>
      </c>
      <c r="P7" s="600">
        <f>O5-O7</f>
        <v>3</v>
      </c>
      <c r="Q7" s="598"/>
      <c r="R7" s="598"/>
      <c r="S7" s="598"/>
      <c r="T7" s="600"/>
      <c r="U7" s="600">
        <f>ROUND(T4*M7,0)</f>
        <v>0</v>
      </c>
      <c r="V7" s="598"/>
      <c r="W7" s="598" t="s">
        <v>19</v>
      </c>
    </row>
    <row r="8" spans="1:23" s="604" customFormat="1" x14ac:dyDescent="0.45">
      <c r="A8" s="598"/>
      <c r="B8" s="598"/>
      <c r="C8" s="598"/>
      <c r="D8" s="598"/>
      <c r="E8" s="599"/>
      <c r="F8" s="603"/>
      <c r="G8" s="599"/>
      <c r="H8" s="600"/>
      <c r="I8" s="601"/>
      <c r="J8" s="601"/>
      <c r="K8" s="598"/>
      <c r="L8" s="598"/>
      <c r="M8" s="602"/>
      <c r="N8" s="602"/>
      <c r="O8" s="600"/>
      <c r="P8" s="600"/>
      <c r="Q8" s="598"/>
      <c r="R8" s="598"/>
      <c r="S8" s="598"/>
      <c r="T8" s="600"/>
      <c r="U8" s="600"/>
      <c r="V8" s="598"/>
      <c r="W8" s="598"/>
    </row>
    <row r="9" spans="1:23" s="604" customFormat="1" x14ac:dyDescent="0.45">
      <c r="A9" s="598"/>
      <c r="B9" s="598"/>
      <c r="C9" s="598"/>
      <c r="D9" s="598"/>
      <c r="E9" s="599"/>
      <c r="F9" s="603"/>
      <c r="G9" s="599"/>
      <c r="H9" s="600"/>
      <c r="I9" s="601"/>
      <c r="J9" s="601"/>
      <c r="K9" s="598"/>
      <c r="L9" s="598"/>
      <c r="M9" s="602"/>
      <c r="N9" s="602"/>
      <c r="O9" s="602"/>
      <c r="P9" s="602"/>
      <c r="Q9" s="598"/>
      <c r="R9" s="598"/>
      <c r="S9" s="598"/>
      <c r="T9" s="600"/>
      <c r="U9" s="602"/>
      <c r="V9" s="598"/>
    </row>
    <row r="10" spans="1:23" s="604" customFormat="1" ht="270.75" x14ac:dyDescent="0.45">
      <c r="A10" s="598"/>
      <c r="B10" s="598" t="s">
        <v>265</v>
      </c>
      <c r="C10" s="598" t="s">
        <v>939</v>
      </c>
      <c r="D10" s="598" t="s">
        <v>248</v>
      </c>
      <c r="E10" s="599">
        <f>DGNBvægtning!G49</f>
        <v>3.3750000000000002E-2</v>
      </c>
      <c r="F10" s="600">
        <f>$F$3*G10</f>
        <v>6.8790312450118574</v>
      </c>
      <c r="G10" s="599">
        <f>E10/$E$3</f>
        <v>0.13758062490023715</v>
      </c>
      <c r="H10" s="600">
        <v>7</v>
      </c>
      <c r="I10" s="601" t="s">
        <v>492</v>
      </c>
      <c r="J10" s="601"/>
      <c r="K10" s="598" t="s">
        <v>956</v>
      </c>
      <c r="L10" s="598"/>
      <c r="M10" s="602"/>
      <c r="N10" s="602">
        <f>IF('Sortering af spørgsmål'!$C$6=Projektforudsætninger!$C$20,'Dialogpart 1'!$J$7,IF('Sortering af spørgsmål'!$C$6=Projektforudsætninger!$C$21,'Dialogpart 2'!$J$7,IF('Sortering af spørgsmål'!$C$6=Projektforudsætninger!$C$22,'Dialogpart 3'!$J$7,IF('Sortering af spørgsmål'!$C$6=Projektforudsætninger!$C$23,'Dialogpart 4'!$J$7,IF('Sortering af spørgsmål'!$C$6=Projektforudsætninger!$C$24,'Dialogpart 5'!$J$7,IF('Sortering af spørgsmål'!$C$6=Projektforudsætninger!$C$25,'Dialogpart 6'!$J$7,IF('Sortering af spørgsmål'!$C$6=Projektforudsætninger!$C$22,'Dialogpart 7'!$J$7,IF('Sortering af spørgsmål'!$C$6=Projektforudsætninger!$C$23,#REF!,IF('Sortering af spørgsmål'!$C$6=Projektforudsætninger!$C$24,#REF!,IF('Sortering af spørgsmål'!$C$6=Projektforudsætninger!$C$25,#REF!,0))))))))))</f>
        <v>0</v>
      </c>
      <c r="O10" s="602"/>
      <c r="P10" s="602"/>
      <c r="Q10" s="598"/>
      <c r="R10" s="599">
        <f>'Sortering af spørgsmål'!$E$6*(Arbejdsark!E10/SUM(Arbejdsark!$E$4:$E$20))</f>
        <v>1.5092879256965942E-2</v>
      </c>
      <c r="S10" s="599">
        <f>R10/$R$3</f>
        <v>5.0309597523219798E-2</v>
      </c>
      <c r="T10" s="600">
        <f>$T$3*S10</f>
        <v>2.51547987616099</v>
      </c>
      <c r="U10" s="602"/>
      <c r="V10" s="598"/>
    </row>
    <row r="11" spans="1:23" s="604" customFormat="1" x14ac:dyDescent="0.45">
      <c r="A11" s="598"/>
      <c r="B11" s="598"/>
      <c r="C11" s="598"/>
      <c r="D11" s="598"/>
      <c r="E11" s="599"/>
      <c r="F11" s="603"/>
      <c r="G11" s="599"/>
      <c r="H11" s="600"/>
      <c r="I11" s="601"/>
      <c r="J11" s="601"/>
      <c r="K11" s="598"/>
      <c r="L11" s="598" t="s">
        <v>498</v>
      </c>
      <c r="M11" s="602">
        <v>0.95</v>
      </c>
      <c r="N11" s="602"/>
      <c r="O11" s="600">
        <f>ROUND(H10*M11,0)</f>
        <v>7</v>
      </c>
      <c r="P11" s="600">
        <f>O11-O11</f>
        <v>0</v>
      </c>
      <c r="Q11" s="598"/>
      <c r="R11" s="598"/>
      <c r="S11" s="598"/>
      <c r="T11" s="600"/>
      <c r="U11" s="600">
        <f>ROUND(T10*M11,0)</f>
        <v>2</v>
      </c>
      <c r="V11" s="598"/>
    </row>
    <row r="12" spans="1:23" s="604" customFormat="1" x14ac:dyDescent="0.45">
      <c r="A12" s="598"/>
      <c r="B12" s="598"/>
      <c r="C12" s="598"/>
      <c r="D12" s="598"/>
      <c r="E12" s="599"/>
      <c r="F12" s="603"/>
      <c r="G12" s="599"/>
      <c r="H12" s="600"/>
      <c r="I12" s="601"/>
      <c r="J12" s="601"/>
      <c r="K12" s="598"/>
      <c r="L12" s="598" t="s">
        <v>499</v>
      </c>
      <c r="M12" s="602">
        <v>0.65</v>
      </c>
      <c r="N12" s="602"/>
      <c r="O12" s="600">
        <f>ROUND(H10*M12,0)</f>
        <v>5</v>
      </c>
      <c r="P12" s="600">
        <f>O11-O12</f>
        <v>2</v>
      </c>
      <c r="Q12" s="598"/>
      <c r="R12" s="598"/>
      <c r="S12" s="598"/>
      <c r="T12" s="600"/>
      <c r="U12" s="600">
        <f>ROUND(T10*M12,0)</f>
        <v>2</v>
      </c>
      <c r="V12" s="598"/>
    </row>
    <row r="13" spans="1:23" s="604" customFormat="1" x14ac:dyDescent="0.45">
      <c r="A13" s="598"/>
      <c r="B13" s="598"/>
      <c r="C13" s="598"/>
      <c r="D13" s="598"/>
      <c r="E13" s="599"/>
      <c r="F13" s="603"/>
      <c r="G13" s="599"/>
      <c r="H13" s="600"/>
      <c r="I13" s="601"/>
      <c r="J13" s="601"/>
      <c r="K13" s="598"/>
      <c r="L13" s="598" t="s">
        <v>495</v>
      </c>
      <c r="M13" s="602">
        <v>0</v>
      </c>
      <c r="N13" s="602"/>
      <c r="O13" s="600">
        <f>ROUND(H10*M13,0)</f>
        <v>0</v>
      </c>
      <c r="P13" s="600">
        <f>O11-O13</f>
        <v>7</v>
      </c>
      <c r="Q13" s="598"/>
      <c r="R13" s="598"/>
      <c r="S13" s="598"/>
      <c r="T13" s="600"/>
      <c r="U13" s="600">
        <f>ROUND(T10*M13,0)</f>
        <v>0</v>
      </c>
      <c r="V13" s="598"/>
    </row>
    <row r="14" spans="1:23" s="604" customFormat="1" x14ac:dyDescent="0.45">
      <c r="A14" s="598"/>
      <c r="B14" s="598"/>
      <c r="C14" s="598"/>
      <c r="D14" s="598"/>
      <c r="E14" s="599"/>
      <c r="F14" s="603"/>
      <c r="G14" s="599"/>
      <c r="H14" s="600"/>
      <c r="I14" s="601"/>
      <c r="J14" s="601"/>
      <c r="K14" s="598"/>
      <c r="L14" s="598"/>
      <c r="M14" s="602"/>
      <c r="N14" s="602"/>
      <c r="O14" s="600"/>
      <c r="P14" s="600"/>
      <c r="Q14" s="598"/>
      <c r="R14" s="598"/>
      <c r="S14" s="598"/>
      <c r="T14" s="600"/>
      <c r="U14" s="600"/>
      <c r="V14" s="598"/>
    </row>
    <row r="15" spans="1:23" s="604" customFormat="1" ht="366" customHeight="1" x14ac:dyDescent="0.45">
      <c r="A15" s="598"/>
      <c r="B15" s="598" t="s">
        <v>281</v>
      </c>
      <c r="C15" s="598" t="s">
        <v>496</v>
      </c>
      <c r="D15" s="598" t="s">
        <v>250</v>
      </c>
      <c r="E15" s="599">
        <f>DGNBvægtning!G50</f>
        <v>1.1250000000000001E-2</v>
      </c>
      <c r="F15" s="600">
        <f>$F$3*G15</f>
        <v>2.2930104150039523</v>
      </c>
      <c r="G15" s="599">
        <f>E15/$E$3</f>
        <v>4.5860208300079044E-2</v>
      </c>
      <c r="H15" s="600">
        <v>2</v>
      </c>
      <c r="I15" s="601" t="s">
        <v>492</v>
      </c>
      <c r="J15" s="601"/>
      <c r="K15" s="598" t="s">
        <v>971</v>
      </c>
      <c r="L15" s="598"/>
      <c r="M15" s="602"/>
      <c r="N15" s="602">
        <f>IF('Sortering af spørgsmål'!$C$6=Projektforudsætninger!$C$20,'Dialogpart 1'!$J$8,IF('Sortering af spørgsmål'!$C$6=Projektforudsætninger!$C$21,'Dialogpart 2'!$J$8,IF('Sortering af spørgsmål'!$C$6=Projektforudsætninger!$C$22,'Dialogpart 3'!$J$8,IF('Sortering af spørgsmål'!$C$6=Projektforudsætninger!$C$23,'Dialogpart 4'!$J$8,IF('Sortering af spørgsmål'!$C$6=Projektforudsætninger!$C$24,'Dialogpart 5'!$J$8,IF('Sortering af spørgsmål'!$C$6=Projektforudsætninger!$C$25,'Dialogpart 6'!$J$8,IF('Sortering af spørgsmål'!$C$6=Projektforudsætninger!$C$22,'Dialogpart 7'!$J$8,IF('Sortering af spørgsmål'!$C$6=Projektforudsætninger!$C$23,#REF!,IF('Sortering af spørgsmål'!$C$6=Projektforudsætninger!$C$24,#REF!,IF('Sortering af spørgsmål'!$C$6=Projektforudsætninger!$C$25,#REF!,0))))))))))</f>
        <v>0</v>
      </c>
      <c r="O15" s="602"/>
      <c r="P15" s="602"/>
      <c r="Q15" s="598"/>
      <c r="R15" s="599">
        <f>'Sortering af spørgsmål'!$E$6*(Arbejdsark!E15/SUM(Arbejdsark!$E$4:$E$20))</f>
        <v>5.0309597523219814E-3</v>
      </c>
      <c r="S15" s="599">
        <f>R15/$R$3</f>
        <v>1.6769865841073268E-2</v>
      </c>
      <c r="T15" s="600">
        <f>$T$3*S15</f>
        <v>0.83849329205366341</v>
      </c>
      <c r="U15" s="598"/>
      <c r="V15" s="598"/>
    </row>
    <row r="16" spans="1:23" s="604" customFormat="1" ht="42.75" x14ac:dyDescent="0.45">
      <c r="A16" s="598"/>
      <c r="B16" s="598"/>
      <c r="C16" s="598"/>
      <c r="D16" s="598"/>
      <c r="E16" s="599"/>
      <c r="F16" s="603"/>
      <c r="G16" s="599"/>
      <c r="H16" s="600"/>
      <c r="I16" s="601"/>
      <c r="J16" s="601"/>
      <c r="K16" s="598" t="s">
        <v>657</v>
      </c>
      <c r="L16" s="598" t="s">
        <v>498</v>
      </c>
      <c r="M16" s="602">
        <v>1</v>
      </c>
      <c r="N16" s="602"/>
      <c r="O16" s="600">
        <f>ROUND(H15*M16,0)</f>
        <v>2</v>
      </c>
      <c r="P16" s="600">
        <f>O16-O16</f>
        <v>0</v>
      </c>
      <c r="Q16" s="598"/>
      <c r="R16" s="598"/>
      <c r="S16" s="598"/>
      <c r="T16" s="600"/>
      <c r="U16" s="600">
        <f>ROUND(T15*M16,0)</f>
        <v>1</v>
      </c>
      <c r="V16" s="598"/>
    </row>
    <row r="17" spans="1:22" s="604" customFormat="1" x14ac:dyDescent="0.45">
      <c r="A17" s="598"/>
      <c r="B17" s="598"/>
      <c r="C17" s="598"/>
      <c r="D17" s="598"/>
      <c r="E17" s="599"/>
      <c r="F17" s="603"/>
      <c r="G17" s="599"/>
      <c r="H17" s="600"/>
      <c r="I17" s="601"/>
      <c r="J17" s="601"/>
      <c r="K17" s="598"/>
      <c r="L17" s="598" t="s">
        <v>499</v>
      </c>
      <c r="M17" s="602">
        <v>0.5</v>
      </c>
      <c r="N17" s="602"/>
      <c r="O17" s="600">
        <f>ROUND(H15*M17,0)</f>
        <v>1</v>
      </c>
      <c r="P17" s="600">
        <f>O16-O17</f>
        <v>1</v>
      </c>
      <c r="Q17" s="598"/>
      <c r="R17" s="598"/>
      <c r="S17" s="598"/>
      <c r="T17" s="600"/>
      <c r="U17" s="600">
        <f>ROUND(T15*M17,0)</f>
        <v>0</v>
      </c>
      <c r="V17" s="598"/>
    </row>
    <row r="18" spans="1:22" s="604" customFormat="1" x14ac:dyDescent="0.45">
      <c r="A18" s="598"/>
      <c r="B18" s="598"/>
      <c r="C18" s="598"/>
      <c r="D18" s="598"/>
      <c r="E18" s="599"/>
      <c r="F18" s="603"/>
      <c r="G18" s="599"/>
      <c r="H18" s="600"/>
      <c r="I18" s="601"/>
      <c r="J18" s="601"/>
      <c r="K18" s="598"/>
      <c r="L18" s="598" t="s">
        <v>495</v>
      </c>
      <c r="M18" s="602">
        <v>0</v>
      </c>
      <c r="N18" s="602"/>
      <c r="O18" s="600">
        <f>ROUND(H15*M18,0)</f>
        <v>0</v>
      </c>
      <c r="P18" s="600">
        <f>O16-O18</f>
        <v>2</v>
      </c>
      <c r="Q18" s="598"/>
      <c r="R18" s="598"/>
      <c r="S18" s="598"/>
      <c r="T18" s="600"/>
      <c r="U18" s="600">
        <f>ROUND(T15*M18,0)</f>
        <v>0</v>
      </c>
      <c r="V18" s="598"/>
    </row>
    <row r="19" spans="1:22" s="604" customFormat="1" x14ac:dyDescent="0.45">
      <c r="A19" s="598"/>
      <c r="B19" s="598"/>
      <c r="C19" s="598"/>
      <c r="D19" s="598"/>
      <c r="E19" s="599"/>
      <c r="F19" s="603"/>
      <c r="G19" s="599"/>
      <c r="H19" s="600"/>
      <c r="I19" s="601"/>
      <c r="J19" s="601"/>
      <c r="K19" s="598"/>
      <c r="L19" s="598"/>
      <c r="M19" s="602"/>
      <c r="N19" s="602"/>
      <c r="O19" s="600"/>
      <c r="P19" s="600"/>
      <c r="Q19" s="598"/>
      <c r="R19" s="598"/>
      <c r="S19" s="598"/>
      <c r="T19" s="600"/>
      <c r="U19" s="600"/>
      <c r="V19" s="598"/>
    </row>
    <row r="20" spans="1:22" s="604" customFormat="1" ht="356.25" x14ac:dyDescent="0.45">
      <c r="A20" s="598"/>
      <c r="B20" s="598" t="s">
        <v>282</v>
      </c>
      <c r="C20" s="598" t="s">
        <v>497</v>
      </c>
      <c r="D20" s="598" t="s">
        <v>958</v>
      </c>
      <c r="E20" s="599">
        <f>0.4*(DGNBvægtning!G48+DGNBvægtning!I55+DGNBvægtning!I56)</f>
        <v>4.9500000000000009E-2</v>
      </c>
      <c r="F20" s="600">
        <f>$F$3*G20</f>
        <v>10.089245826017391</v>
      </c>
      <c r="G20" s="599">
        <f>E20/$E$3</f>
        <v>0.20178491652034783</v>
      </c>
      <c r="H20" s="600">
        <v>10</v>
      </c>
      <c r="I20" s="601" t="s">
        <v>492</v>
      </c>
      <c r="J20" s="601"/>
      <c r="K20" s="598" t="s">
        <v>957</v>
      </c>
      <c r="L20" s="598"/>
      <c r="M20" s="602"/>
      <c r="N20" s="602">
        <f>IF('Sortering af spørgsmål'!$C$6=Projektforudsætninger!$C$20,'Dialogpart 1'!$J$9,IF('Sortering af spørgsmål'!$C$6=Projektforudsætninger!$C$21,'Dialogpart 2'!$J$9,IF('Sortering af spørgsmål'!$C$6=Projektforudsætninger!$C$22,'Dialogpart 3'!$J$9,IF('Sortering af spørgsmål'!$C$6=Projektforudsætninger!$C$23,'Dialogpart 4'!$J$9,IF('Sortering af spørgsmål'!$C$6=Projektforudsætninger!$C$24,'Dialogpart 5'!$J$9,IF('Sortering af spørgsmål'!$C$6=Projektforudsætninger!$C$25,'Dialogpart 6'!$J$9,IF('Sortering af spørgsmål'!$C$6=Projektforudsætninger!$C$22,'Dialogpart 7'!$J$9,IF('Sortering af spørgsmål'!$C$6=Projektforudsætninger!$C$23,#REF!,IF('Sortering af spørgsmål'!$C$6=Projektforudsætninger!$C$24,#REF!,IF('Sortering af spørgsmål'!$C$6=Projektforudsætninger!$C$25,#REF!,0))))))))))</f>
        <v>0</v>
      </c>
      <c r="O20" s="602"/>
      <c r="P20" s="602"/>
      <c r="Q20" s="598"/>
      <c r="R20" s="599">
        <f>'Sortering af spørgsmål'!$E$6*(Arbejdsark!E20/SUM(Arbejdsark!$E$4:$E$20))</f>
        <v>2.2136222910216719E-2</v>
      </c>
      <c r="S20" s="599">
        <f>R20/$R$3</f>
        <v>7.3787409700722381E-2</v>
      </c>
      <c r="T20" s="600">
        <f>$T$3*S20</f>
        <v>3.6893704850361191</v>
      </c>
      <c r="U20" s="598"/>
      <c r="V20" s="598"/>
    </row>
    <row r="21" spans="1:22" s="604" customFormat="1" x14ac:dyDescent="0.45">
      <c r="A21" s="598"/>
      <c r="B21" s="598"/>
      <c r="C21" s="598"/>
      <c r="D21" s="598"/>
      <c r="E21" s="599"/>
      <c r="F21" s="603"/>
      <c r="G21" s="599"/>
      <c r="H21" s="600"/>
      <c r="I21" s="601"/>
      <c r="J21" s="601"/>
      <c r="K21" s="598"/>
      <c r="L21" s="598" t="s">
        <v>498</v>
      </c>
      <c r="M21" s="602">
        <v>1</v>
      </c>
      <c r="N21" s="602"/>
      <c r="O21" s="600">
        <f>ROUND(H20*M21,0)</f>
        <v>10</v>
      </c>
      <c r="P21" s="600">
        <f>O21-O21</f>
        <v>0</v>
      </c>
      <c r="Q21" s="598"/>
      <c r="R21" s="598"/>
      <c r="S21" s="598"/>
      <c r="T21" s="600"/>
      <c r="U21" s="600">
        <f>ROUND(T20*M21,0)</f>
        <v>4</v>
      </c>
      <c r="V21" s="598"/>
    </row>
    <row r="22" spans="1:22" s="604" customFormat="1" x14ac:dyDescent="0.45">
      <c r="A22" s="598"/>
      <c r="B22" s="598"/>
      <c r="C22" s="598"/>
      <c r="D22" s="598"/>
      <c r="E22" s="599"/>
      <c r="F22" s="603"/>
      <c r="G22" s="599"/>
      <c r="H22" s="600"/>
      <c r="I22" s="601"/>
      <c r="J22" s="601"/>
      <c r="K22" s="598"/>
      <c r="L22" s="598" t="s">
        <v>499</v>
      </c>
      <c r="M22" s="602">
        <v>0.8</v>
      </c>
      <c r="N22" s="602"/>
      <c r="O22" s="600">
        <f>ROUND(H20*M22,0)</f>
        <v>8</v>
      </c>
      <c r="P22" s="600">
        <f>O21-O22</f>
        <v>2</v>
      </c>
      <c r="Q22" s="598"/>
      <c r="R22" s="598"/>
      <c r="S22" s="598"/>
      <c r="T22" s="600"/>
      <c r="U22" s="600">
        <f>ROUND(T20*M22,0)</f>
        <v>3</v>
      </c>
      <c r="V22" s="598"/>
    </row>
    <row r="23" spans="1:22" s="604" customFormat="1" x14ac:dyDescent="0.45">
      <c r="A23" s="598"/>
      <c r="B23" s="598"/>
      <c r="C23" s="598"/>
      <c r="D23" s="598"/>
      <c r="E23" s="599"/>
      <c r="F23" s="603"/>
      <c r="G23" s="599"/>
      <c r="H23" s="600"/>
      <c r="I23" s="601"/>
      <c r="J23" s="601"/>
      <c r="K23" s="598"/>
      <c r="L23" s="598" t="s">
        <v>495</v>
      </c>
      <c r="M23" s="602">
        <v>0.5</v>
      </c>
      <c r="N23" s="602"/>
      <c r="O23" s="600">
        <f>ROUND(H20*M23,0)</f>
        <v>5</v>
      </c>
      <c r="P23" s="600">
        <f>O21-O23</f>
        <v>5</v>
      </c>
      <c r="Q23" s="598"/>
      <c r="R23" s="598"/>
      <c r="S23" s="598"/>
      <c r="T23" s="600"/>
      <c r="U23" s="600">
        <f>ROUND(T20*M23,0)</f>
        <v>2</v>
      </c>
      <c r="V23" s="598"/>
    </row>
    <row r="24" spans="1:22" s="604" customFormat="1" x14ac:dyDescent="0.45">
      <c r="A24" s="598"/>
      <c r="B24" s="598"/>
      <c r="C24" s="598"/>
      <c r="D24" s="598"/>
      <c r="E24" s="599"/>
      <c r="F24" s="603"/>
      <c r="G24" s="599"/>
      <c r="H24" s="600"/>
      <c r="I24" s="601"/>
      <c r="J24" s="601"/>
      <c r="K24" s="598"/>
      <c r="L24" s="598"/>
      <c r="M24" s="602"/>
      <c r="N24" s="602"/>
      <c r="O24" s="602"/>
      <c r="P24" s="602"/>
      <c r="Q24" s="598"/>
      <c r="R24" s="598"/>
      <c r="S24" s="598"/>
      <c r="T24" s="600"/>
      <c r="U24" s="598"/>
      <c r="V24" s="598"/>
    </row>
    <row r="25" spans="1:22" s="604" customFormat="1" ht="313.5" x14ac:dyDescent="0.45">
      <c r="A25" s="598" t="s">
        <v>500</v>
      </c>
      <c r="B25" s="598" t="s">
        <v>283</v>
      </c>
      <c r="C25" s="598" t="s">
        <v>501</v>
      </c>
      <c r="D25" s="598" t="s">
        <v>959</v>
      </c>
      <c r="E25" s="599">
        <f>DGNBvægtning!I57</f>
        <v>1.1250000000000001E-2</v>
      </c>
      <c r="F25" s="600">
        <f>$F$3*G25</f>
        <v>2.2930104150039523</v>
      </c>
      <c r="G25" s="599">
        <f>E25/$E$3</f>
        <v>4.5860208300079044E-2</v>
      </c>
      <c r="H25" s="600">
        <v>2</v>
      </c>
      <c r="I25" s="601" t="s">
        <v>492</v>
      </c>
      <c r="J25" s="601"/>
      <c r="K25" s="598" t="s">
        <v>960</v>
      </c>
      <c r="L25" s="598"/>
      <c r="M25" s="602"/>
      <c r="N25" s="602">
        <f>IF('Sortering af spørgsmål'!$C$7=Projektforudsætninger!$C$20,'Dialogpart 1'!$J$12,IF('Sortering af spørgsmål'!$C$7=Projektforudsætninger!$C$21,'Dialogpart 2'!$J$12,IF('Sortering af spørgsmål'!$C$7=Projektforudsætninger!$C$22,'Dialogpart 3'!$J$12,IF('Sortering af spørgsmål'!$C$7=Projektforudsætninger!$C$23,'Dialogpart 4'!$J$12,IF('Sortering af spørgsmål'!$C$7=Projektforudsætninger!$C$24,'Dialogpart 5'!$J$12,IF('Sortering af spørgsmål'!$C$7=Projektforudsætninger!$C$25,'Dialogpart 6'!$J$12,IF('Sortering af spørgsmål'!$C$7=Projektforudsætninger!$C$22,'Dialogpart 7'!$J$12,IF('Sortering af spørgsmål'!$C$7=Projektforudsætninger!$C$23,#REF!,IF('Sortering af spørgsmål'!$C$7=Projektforudsætninger!$C$24,#REF!,IF('Sortering af spørgsmål'!$C$7=Projektforudsætninger!$C$25,#REF!,0))))))))))</f>
        <v>0</v>
      </c>
      <c r="O25" s="602"/>
      <c r="P25" s="602"/>
      <c r="Q25" s="598"/>
      <c r="R25" s="599">
        <f>'Sortering af spørgsmål'!$E$7*(Arbejdsark!E25/SUM($E$25:$E$30))</f>
        <v>6.5789473684210523E-3</v>
      </c>
      <c r="S25" s="599">
        <f>R25/$R$3</f>
        <v>2.1929824561403504E-2</v>
      </c>
      <c r="T25" s="600">
        <f>$T$3*S25</f>
        <v>1.0964912280701753</v>
      </c>
      <c r="U25" s="598"/>
      <c r="V25" s="598"/>
    </row>
    <row r="26" spans="1:22" s="604" customFormat="1" x14ac:dyDescent="0.45">
      <c r="A26" s="598"/>
      <c r="B26" s="598"/>
      <c r="C26" s="598"/>
      <c r="D26" s="598"/>
      <c r="E26" s="599"/>
      <c r="F26" s="603"/>
      <c r="G26" s="599"/>
      <c r="H26" s="600"/>
      <c r="I26" s="601"/>
      <c r="J26" s="601"/>
      <c r="K26" s="598"/>
      <c r="L26" s="598" t="s">
        <v>498</v>
      </c>
      <c r="M26" s="602">
        <v>1</v>
      </c>
      <c r="N26" s="602"/>
      <c r="O26" s="600">
        <f>ROUND(H25*M26,0)</f>
        <v>2</v>
      </c>
      <c r="P26" s="600">
        <f>O26-O26</f>
        <v>0</v>
      </c>
      <c r="Q26" s="598"/>
      <c r="R26" s="598"/>
      <c r="S26" s="598"/>
      <c r="T26" s="600"/>
      <c r="U26" s="600">
        <f>ROUND(T25*M26,0)</f>
        <v>1</v>
      </c>
      <c r="V26" s="598"/>
    </row>
    <row r="27" spans="1:22" s="604" customFormat="1" x14ac:dyDescent="0.45">
      <c r="A27" s="598"/>
      <c r="B27" s="598"/>
      <c r="C27" s="598"/>
      <c r="D27" s="598"/>
      <c r="E27" s="599"/>
      <c r="F27" s="603"/>
      <c r="G27" s="599"/>
      <c r="H27" s="600"/>
      <c r="I27" s="601"/>
      <c r="J27" s="601"/>
      <c r="K27" s="598"/>
      <c r="L27" s="598" t="s">
        <v>499</v>
      </c>
      <c r="M27" s="602">
        <v>0.749</v>
      </c>
      <c r="N27" s="602"/>
      <c r="O27" s="600">
        <f>ROUND(H25*M27,0)</f>
        <v>1</v>
      </c>
      <c r="P27" s="600">
        <f>O26-O27</f>
        <v>1</v>
      </c>
      <c r="Q27" s="598"/>
      <c r="R27" s="598"/>
      <c r="S27" s="598"/>
      <c r="T27" s="600"/>
      <c r="U27" s="600">
        <f>ROUND(T25*M27,0)</f>
        <v>1</v>
      </c>
      <c r="V27" s="598"/>
    </row>
    <row r="28" spans="1:22" s="604" customFormat="1" x14ac:dyDescent="0.45">
      <c r="A28" s="598"/>
      <c r="B28" s="598"/>
      <c r="C28" s="598"/>
      <c r="D28" s="598"/>
      <c r="E28" s="599"/>
      <c r="F28" s="603"/>
      <c r="G28" s="599"/>
      <c r="H28" s="600"/>
      <c r="I28" s="601"/>
      <c r="J28" s="601"/>
      <c r="K28" s="598"/>
      <c r="L28" s="598" t="s">
        <v>495</v>
      </c>
      <c r="M28" s="602">
        <v>0.5</v>
      </c>
      <c r="N28" s="602"/>
      <c r="O28" s="600">
        <v>0</v>
      </c>
      <c r="P28" s="600">
        <f>O26-O28</f>
        <v>2</v>
      </c>
      <c r="Q28" s="598"/>
      <c r="R28" s="598"/>
      <c r="S28" s="598"/>
      <c r="T28" s="600"/>
      <c r="U28" s="600">
        <f>ROUND(T25*M28,0)</f>
        <v>1</v>
      </c>
      <c r="V28" s="598"/>
    </row>
    <row r="29" spans="1:22" s="604" customFormat="1" ht="147" customHeight="1" x14ac:dyDescent="0.45">
      <c r="A29" s="598"/>
      <c r="B29" s="598"/>
      <c r="C29" s="598"/>
      <c r="D29" s="598"/>
      <c r="E29" s="599"/>
      <c r="F29" s="603"/>
      <c r="G29" s="599"/>
      <c r="H29" s="600"/>
      <c r="I29" s="601"/>
      <c r="J29" s="601"/>
      <c r="K29" s="598"/>
      <c r="L29" s="598"/>
      <c r="M29" s="602"/>
      <c r="N29" s="602"/>
      <c r="O29" s="602"/>
      <c r="P29" s="602"/>
      <c r="Q29" s="598"/>
      <c r="R29" s="598"/>
      <c r="S29" s="598"/>
      <c r="T29" s="600"/>
      <c r="U29" s="598"/>
      <c r="V29" s="598"/>
    </row>
    <row r="30" spans="1:22" s="604" customFormat="1" ht="299.25" x14ac:dyDescent="0.45">
      <c r="A30" s="598"/>
      <c r="B30" s="598" t="s">
        <v>268</v>
      </c>
      <c r="C30" s="598" t="s">
        <v>502</v>
      </c>
      <c r="D30" s="598" t="s">
        <v>668</v>
      </c>
      <c r="E30" s="599">
        <f>0.6*(DGNBvægtning!G48+DGNBvægtning!I55+DGNBvægtning!I56)</f>
        <v>7.425000000000001E-2</v>
      </c>
      <c r="F30" s="600">
        <f>$F$3*G30</f>
        <v>15.133868739026084</v>
      </c>
      <c r="G30" s="599">
        <f>E30/$E$3</f>
        <v>0.3026773747805217</v>
      </c>
      <c r="H30" s="600">
        <v>12</v>
      </c>
      <c r="I30" s="601" t="s">
        <v>492</v>
      </c>
      <c r="J30" s="601"/>
      <c r="K30" s="598" t="s">
        <v>1003</v>
      </c>
      <c r="L30" s="598"/>
      <c r="M30" s="602"/>
      <c r="N30" s="602">
        <f>IF('Sortering af spørgsmål'!$C$7=Projektforudsætninger!$C$20,'Dialogpart 1'!$J$13,IF('Sortering af spørgsmål'!$C$7=Projektforudsætninger!$C$21,'Dialogpart 2'!$J$13,IF('Sortering af spørgsmål'!$C$7=Projektforudsætninger!$C$22,'Dialogpart 3'!$J$13,IF('Sortering af spørgsmål'!$C$7=Projektforudsætninger!$C$23,'Dialogpart 4'!$J$13,IF('Sortering af spørgsmål'!$C$7=Projektforudsætninger!$C$24,'Dialogpart 5'!$J$13,IF('Sortering af spørgsmål'!$C$7=Projektforudsætninger!$C$25,'Dialogpart 6'!$J$13,IF('Sortering af spørgsmål'!$C$7=Projektforudsætninger!$C$22,'Dialogpart 7'!$J$13,IF('Sortering af spørgsmål'!$C$7=Projektforudsætninger!$C$23,#REF!,IF('Sortering af spørgsmål'!$C$7=Projektforudsætninger!$C$24,#REF!,IF('Sortering af spørgsmål'!$C$7=Projektforudsætninger!$C$25,#REF!,0))))))))))</f>
        <v>0</v>
      </c>
      <c r="O30" s="602"/>
      <c r="P30" s="602"/>
      <c r="Q30" s="598"/>
      <c r="R30" s="599">
        <f>'Sortering af spørgsmål'!$E$7*(Arbejdsark!E30/SUM($E$25:$E$30))</f>
        <v>4.3421052631578951E-2</v>
      </c>
      <c r="S30" s="599">
        <f>R30/$R$3</f>
        <v>0.14473684210526314</v>
      </c>
      <c r="T30" s="600">
        <f>$T$3*S30</f>
        <v>7.2368421052631566</v>
      </c>
      <c r="U30" s="598"/>
      <c r="V30" s="598"/>
    </row>
    <row r="31" spans="1:22" s="604" customFormat="1" x14ac:dyDescent="0.45">
      <c r="A31" s="598"/>
      <c r="B31" s="598"/>
      <c r="C31" s="598"/>
      <c r="D31" s="598"/>
      <c r="E31" s="599"/>
      <c r="F31" s="603"/>
      <c r="G31" s="599"/>
      <c r="H31" s="600"/>
      <c r="I31" s="601"/>
      <c r="J31" s="601"/>
      <c r="K31" s="598"/>
      <c r="L31" s="598" t="s">
        <v>498</v>
      </c>
      <c r="M31" s="602">
        <v>1</v>
      </c>
      <c r="N31" s="602"/>
      <c r="O31" s="600">
        <f>ROUND(H30*M31,0)</f>
        <v>12</v>
      </c>
      <c r="P31" s="600">
        <f>O31-O31</f>
        <v>0</v>
      </c>
      <c r="Q31" s="598"/>
      <c r="R31" s="598"/>
      <c r="S31" s="598"/>
      <c r="T31" s="600"/>
      <c r="U31" s="600">
        <f>ROUND(T30*M31,0)</f>
        <v>7</v>
      </c>
      <c r="V31" s="598"/>
    </row>
    <row r="32" spans="1:22" s="604" customFormat="1" x14ac:dyDescent="0.45">
      <c r="A32" s="598"/>
      <c r="B32" s="598"/>
      <c r="C32" s="598"/>
      <c r="D32" s="598"/>
      <c r="E32" s="599"/>
      <c r="F32" s="603"/>
      <c r="G32" s="599"/>
      <c r="H32" s="600"/>
      <c r="I32" s="601"/>
      <c r="J32" s="601"/>
      <c r="K32" s="598"/>
      <c r="L32" s="598" t="s">
        <v>499</v>
      </c>
      <c r="M32" s="602">
        <v>0.8</v>
      </c>
      <c r="N32" s="602"/>
      <c r="O32" s="600">
        <f>ROUND(H30*M32,0)</f>
        <v>10</v>
      </c>
      <c r="P32" s="600">
        <f>O31-O32</f>
        <v>2</v>
      </c>
      <c r="Q32" s="598"/>
      <c r="R32" s="598"/>
      <c r="S32" s="598"/>
      <c r="T32" s="600"/>
      <c r="U32" s="600">
        <f>ROUND(T30*M32,0)</f>
        <v>6</v>
      </c>
      <c r="V32" s="598"/>
    </row>
    <row r="33" spans="1:22" s="604" customFormat="1" x14ac:dyDescent="0.45">
      <c r="A33" s="598"/>
      <c r="B33" s="598"/>
      <c r="C33" s="598"/>
      <c r="D33" s="598"/>
      <c r="E33" s="599"/>
      <c r="F33" s="603"/>
      <c r="G33" s="599"/>
      <c r="H33" s="600"/>
      <c r="I33" s="601"/>
      <c r="J33" s="601"/>
      <c r="K33" s="598"/>
      <c r="L33" s="598" t="s">
        <v>495</v>
      </c>
      <c r="M33" s="602">
        <v>0.5</v>
      </c>
      <c r="N33" s="602"/>
      <c r="O33" s="600">
        <f>ROUND(H30*M33,0)</f>
        <v>6</v>
      </c>
      <c r="P33" s="600">
        <f>O31-O33</f>
        <v>6</v>
      </c>
      <c r="Q33" s="598"/>
      <c r="R33" s="598"/>
      <c r="S33" s="598"/>
      <c r="T33" s="600"/>
      <c r="U33" s="600">
        <f>ROUND(T30*M33,0)</f>
        <v>4</v>
      </c>
      <c r="V33" s="598"/>
    </row>
    <row r="34" spans="1:22" s="604" customFormat="1" ht="28.5" x14ac:dyDescent="0.45">
      <c r="A34" s="598"/>
      <c r="B34" s="598"/>
      <c r="C34" s="598"/>
      <c r="D34" s="598"/>
      <c r="E34" s="599"/>
      <c r="F34" s="603"/>
      <c r="G34" s="599"/>
      <c r="H34" s="600"/>
      <c r="I34" s="601"/>
      <c r="J34" s="601"/>
      <c r="K34" s="598"/>
      <c r="L34" s="598" t="s">
        <v>512</v>
      </c>
      <c r="M34" s="602"/>
      <c r="N34" s="602"/>
      <c r="O34" s="602"/>
      <c r="P34" s="602"/>
      <c r="Q34" s="598"/>
      <c r="R34" s="598"/>
      <c r="S34" s="598"/>
      <c r="T34" s="600"/>
      <c r="U34" s="598"/>
      <c r="V34" s="598"/>
    </row>
    <row r="35" spans="1:22" s="604" customFormat="1" ht="327.75" x14ac:dyDescent="0.45">
      <c r="A35" s="598" t="s">
        <v>503</v>
      </c>
      <c r="B35" s="598" t="s">
        <v>392</v>
      </c>
      <c r="C35" s="598" t="s">
        <v>504</v>
      </c>
      <c r="D35" s="598" t="s">
        <v>669</v>
      </c>
      <c r="E35" s="599">
        <f>0.2*DGNBvægtning!I58</f>
        <v>4.5000000000000005E-3</v>
      </c>
      <c r="F35" s="600">
        <f>$F$3*G35</f>
        <v>0.91720416600158095</v>
      </c>
      <c r="G35" s="599">
        <f>E35/$E$3</f>
        <v>1.834408332003162E-2</v>
      </c>
      <c r="H35" s="600">
        <v>1</v>
      </c>
      <c r="I35" s="601" t="s">
        <v>492</v>
      </c>
      <c r="J35" s="601"/>
      <c r="K35" s="598" t="s">
        <v>961</v>
      </c>
      <c r="L35" s="598"/>
      <c r="M35" s="602"/>
      <c r="N35" s="602">
        <f>IF('Sortering af spørgsmål'!$C$8=Projektforudsætninger!$C$20,'Dialogpart 1'!$J$16,IF('Sortering af spørgsmål'!$C$8=Projektforudsætninger!$C$21,'Dialogpart 2'!$J$16,IF('Sortering af spørgsmål'!$C$8=Projektforudsætninger!$C$22,'Dialogpart 3'!$J$16,IF('Sortering af spørgsmål'!$C$8=Projektforudsætninger!$C$23,'Dialogpart 4'!$J$16,IF('Sortering af spørgsmål'!$C$8=Projektforudsætninger!$C$24,'Dialogpart 5'!$J$16,IF('Sortering af spørgsmål'!$C$8=Projektforudsætninger!$C$25,'Dialogpart 6'!$J$16,IF('Sortering af spørgsmål'!$C$8=Projektforudsætninger!$C$22,'Dialogpart 7'!$J$16,IF('Sortering af spørgsmål'!$C$8=Projektforudsætninger!$C$23,#REF!,IF('Sortering af spørgsmål'!$C$8=Projektforudsætninger!$C$24,#REF!,IF('Sortering af spørgsmål'!$C$8=Projektforudsætninger!$C$25,#REF!,0))))))))))</f>
        <v>0</v>
      </c>
      <c r="O35" s="602"/>
      <c r="P35" s="602"/>
      <c r="Q35" s="598"/>
      <c r="R35" s="599">
        <f>'Sortering af spørgsmål'!$E$8*(Arbejdsark!E35/SUM($E$35:$E$45))</f>
        <v>1.0000000000000002E-2</v>
      </c>
      <c r="S35" s="599">
        <f>R35/$R$3</f>
        <v>3.3333333333333333E-2</v>
      </c>
      <c r="T35" s="600">
        <f>$T$3*S35</f>
        <v>1.6666666666666667</v>
      </c>
      <c r="U35" s="598"/>
      <c r="V35" s="598"/>
    </row>
    <row r="36" spans="1:22" s="604" customFormat="1" x14ac:dyDescent="0.45">
      <c r="A36" s="598"/>
      <c r="B36" s="598"/>
      <c r="C36" s="598"/>
      <c r="D36" s="598"/>
      <c r="E36" s="599"/>
      <c r="F36" s="603"/>
      <c r="G36" s="599"/>
      <c r="H36" s="600"/>
      <c r="I36" s="601"/>
      <c r="J36" s="601"/>
      <c r="K36" s="598"/>
      <c r="L36" s="598" t="s">
        <v>498</v>
      </c>
      <c r="M36" s="602">
        <v>1</v>
      </c>
      <c r="N36" s="602"/>
      <c r="O36" s="600">
        <f>ROUND(H35*M36,0)</f>
        <v>1</v>
      </c>
      <c r="P36" s="600">
        <f>O36-O36</f>
        <v>0</v>
      </c>
      <c r="Q36" s="598"/>
      <c r="R36" s="598"/>
      <c r="S36" s="598"/>
      <c r="T36" s="600"/>
      <c r="U36" s="600">
        <f>ROUND(T35*M36,0)</f>
        <v>2</v>
      </c>
      <c r="V36" s="598"/>
    </row>
    <row r="37" spans="1:22" s="604" customFormat="1" x14ac:dyDescent="0.45">
      <c r="A37" s="598"/>
      <c r="B37" s="598"/>
      <c r="C37" s="598"/>
      <c r="D37" s="598"/>
      <c r="E37" s="599"/>
      <c r="F37" s="603"/>
      <c r="G37" s="599"/>
      <c r="H37" s="600"/>
      <c r="I37" s="601"/>
      <c r="J37" s="601"/>
      <c r="K37" s="598"/>
      <c r="L37" s="598" t="s">
        <v>499</v>
      </c>
      <c r="M37" s="602">
        <v>0.7</v>
      </c>
      <c r="N37" s="602"/>
      <c r="O37" s="600">
        <f>ROUND(H35*M37,0)</f>
        <v>1</v>
      </c>
      <c r="P37" s="600">
        <f>O36-O37</f>
        <v>0</v>
      </c>
      <c r="Q37" s="598"/>
      <c r="R37" s="598"/>
      <c r="S37" s="598"/>
      <c r="T37" s="600"/>
      <c r="U37" s="600">
        <f>ROUND(T35*M37,0)</f>
        <v>1</v>
      </c>
      <c r="V37" s="598"/>
    </row>
    <row r="38" spans="1:22" s="604" customFormat="1" x14ac:dyDescent="0.45">
      <c r="A38" s="598"/>
      <c r="B38" s="598"/>
      <c r="C38" s="598"/>
      <c r="D38" s="598"/>
      <c r="E38" s="599"/>
      <c r="F38" s="603"/>
      <c r="G38" s="599"/>
      <c r="H38" s="600"/>
      <c r="I38" s="601"/>
      <c r="J38" s="601"/>
      <c r="K38" s="598"/>
      <c r="L38" s="598" t="s">
        <v>495</v>
      </c>
      <c r="M38" s="602">
        <v>0.3</v>
      </c>
      <c r="N38" s="602"/>
      <c r="O38" s="600">
        <f>ROUND(H35*M38,0)</f>
        <v>0</v>
      </c>
      <c r="P38" s="600">
        <f>O36-O38</f>
        <v>1</v>
      </c>
      <c r="Q38" s="598"/>
      <c r="R38" s="598"/>
      <c r="S38" s="598"/>
      <c r="T38" s="600"/>
      <c r="U38" s="600">
        <f>ROUND(T35*M38,0)</f>
        <v>1</v>
      </c>
      <c r="V38" s="598"/>
    </row>
    <row r="39" spans="1:22" s="604" customFormat="1" x14ac:dyDescent="0.45">
      <c r="A39" s="598"/>
      <c r="B39" s="598"/>
      <c r="C39" s="598"/>
      <c r="D39" s="598"/>
      <c r="E39" s="599"/>
      <c r="F39" s="603"/>
      <c r="G39" s="599"/>
      <c r="H39" s="600"/>
      <c r="I39" s="601"/>
      <c r="J39" s="601"/>
      <c r="K39" s="598"/>
      <c r="L39" s="598"/>
      <c r="M39" s="602"/>
      <c r="N39" s="602"/>
      <c r="O39" s="602"/>
      <c r="P39" s="602"/>
      <c r="Q39" s="598"/>
      <c r="R39" s="598"/>
      <c r="S39" s="598"/>
      <c r="T39" s="600"/>
      <c r="U39" s="598"/>
      <c r="V39" s="598"/>
    </row>
    <row r="40" spans="1:22" s="604" customFormat="1" ht="409.5" customHeight="1" x14ac:dyDescent="0.45">
      <c r="A40" s="598"/>
      <c r="B40" s="598" t="s">
        <v>394</v>
      </c>
      <c r="C40" s="598" t="s">
        <v>505</v>
      </c>
      <c r="D40" s="598" t="s">
        <v>669</v>
      </c>
      <c r="E40" s="599">
        <f>0.2*DGNBvægtning!I58</f>
        <v>4.5000000000000005E-3</v>
      </c>
      <c r="F40" s="600">
        <f>$F$3*G40</f>
        <v>0.91720416600158095</v>
      </c>
      <c r="G40" s="599">
        <f>E40/$E$3</f>
        <v>1.834408332003162E-2</v>
      </c>
      <c r="H40" s="600">
        <v>1</v>
      </c>
      <c r="I40" s="601" t="s">
        <v>492</v>
      </c>
      <c r="J40" s="601"/>
      <c r="K40" s="598" t="s">
        <v>962</v>
      </c>
      <c r="L40" s="598"/>
      <c r="M40" s="602"/>
      <c r="N40" s="602">
        <f>IF('Sortering af spørgsmål'!$C$8=Projektforudsætninger!$C$20,'Dialogpart 1'!$J$17,IF('Sortering af spørgsmål'!$C$8=Projektforudsætninger!$C$21,'Dialogpart 2'!$J$17,IF('Sortering af spørgsmål'!$C$8=Projektforudsætninger!$C$22,'Dialogpart 3'!$J$17,IF('Sortering af spørgsmål'!$C$8=Projektforudsætninger!$C$23,'Dialogpart 4'!$J$17,IF('Sortering af spørgsmål'!$C$8=Projektforudsætninger!$C$24,'Dialogpart 5'!$J$17,IF('Sortering af spørgsmål'!$C$8=Projektforudsætninger!$C$25,'Dialogpart 6'!$J$17,IF('Sortering af spørgsmål'!$C$8=Projektforudsætninger!$C$22,'Dialogpart 7'!$J$17,IF('Sortering af spørgsmål'!$C$8=Projektforudsætninger!$C$23,#REF!,IF('Sortering af spørgsmål'!$C$8=Projektforudsætninger!$C$24,#REF!,IF('Sortering af spørgsmål'!$C$8=Projektforudsætninger!$C$25,#REF!,0))))))))))</f>
        <v>0</v>
      </c>
      <c r="O40" s="602"/>
      <c r="P40" s="602"/>
      <c r="Q40" s="598"/>
      <c r="R40" s="599">
        <f>'Sortering af spørgsmål'!$E$8*(Arbejdsark!E40/SUM($E$35:$E$45))</f>
        <v>1.0000000000000002E-2</v>
      </c>
      <c r="S40" s="599">
        <f>R40/$R$3</f>
        <v>3.3333333333333333E-2</v>
      </c>
      <c r="T40" s="600">
        <f>$T$3*S40</f>
        <v>1.6666666666666667</v>
      </c>
      <c r="U40" s="598"/>
      <c r="V40" s="598"/>
    </row>
    <row r="41" spans="1:22" s="604" customFormat="1" x14ac:dyDescent="0.45">
      <c r="A41" s="598"/>
      <c r="B41" s="598"/>
      <c r="C41" s="598"/>
      <c r="D41" s="598"/>
      <c r="E41" s="599"/>
      <c r="F41" s="603"/>
      <c r="G41" s="599"/>
      <c r="H41" s="600"/>
      <c r="I41" s="601"/>
      <c r="J41" s="601"/>
      <c r="K41" s="598"/>
      <c r="L41" s="598" t="s">
        <v>498</v>
      </c>
      <c r="M41" s="602">
        <v>1</v>
      </c>
      <c r="N41" s="602"/>
      <c r="O41" s="600">
        <f>ROUND(H40*M41,0)</f>
        <v>1</v>
      </c>
      <c r="P41" s="600">
        <f>O41-O41</f>
        <v>0</v>
      </c>
      <c r="Q41" s="598"/>
      <c r="R41" s="598"/>
      <c r="S41" s="598"/>
      <c r="T41" s="600"/>
      <c r="U41" s="600">
        <f>ROUND(T40*M41,0)</f>
        <v>2</v>
      </c>
      <c r="V41" s="598"/>
    </row>
    <row r="42" spans="1:22" s="604" customFormat="1" x14ac:dyDescent="0.45">
      <c r="A42" s="598"/>
      <c r="B42" s="598"/>
      <c r="C42" s="598"/>
      <c r="D42" s="598"/>
      <c r="E42" s="599"/>
      <c r="F42" s="603"/>
      <c r="G42" s="599"/>
      <c r="H42" s="600"/>
      <c r="I42" s="601"/>
      <c r="J42" s="601"/>
      <c r="K42" s="598"/>
      <c r="L42" s="598" t="s">
        <v>499</v>
      </c>
      <c r="M42" s="602">
        <v>0.5</v>
      </c>
      <c r="N42" s="602"/>
      <c r="O42" s="600">
        <f>ROUND(H40*M42,0)</f>
        <v>1</v>
      </c>
      <c r="P42" s="600">
        <f>O41-O42</f>
        <v>0</v>
      </c>
      <c r="Q42" s="598"/>
      <c r="R42" s="598"/>
      <c r="S42" s="598"/>
      <c r="T42" s="600"/>
      <c r="U42" s="600">
        <f>ROUND(T40*M42,0)</f>
        <v>1</v>
      </c>
      <c r="V42" s="598"/>
    </row>
    <row r="43" spans="1:22" s="604" customFormat="1" x14ac:dyDescent="0.45">
      <c r="A43" s="598"/>
      <c r="B43" s="598"/>
      <c r="C43" s="598"/>
      <c r="D43" s="598"/>
      <c r="E43" s="599"/>
      <c r="F43" s="603"/>
      <c r="G43" s="599"/>
      <c r="H43" s="600"/>
      <c r="I43" s="601"/>
      <c r="J43" s="601"/>
      <c r="K43" s="598"/>
      <c r="L43" s="598" t="s">
        <v>495</v>
      </c>
      <c r="M43" s="602">
        <v>0</v>
      </c>
      <c r="N43" s="602"/>
      <c r="O43" s="600">
        <f>ROUND(H40*M43,0)</f>
        <v>0</v>
      </c>
      <c r="P43" s="600">
        <f>O41-O43</f>
        <v>1</v>
      </c>
      <c r="Q43" s="598"/>
      <c r="R43" s="598"/>
      <c r="S43" s="598"/>
      <c r="T43" s="600"/>
      <c r="U43" s="600">
        <f>ROUND(T40*M43,0)</f>
        <v>0</v>
      </c>
      <c r="V43" s="598"/>
    </row>
    <row r="44" spans="1:22" s="604" customFormat="1" x14ac:dyDescent="0.45">
      <c r="A44" s="598"/>
      <c r="B44" s="598"/>
      <c r="C44" s="598"/>
      <c r="D44" s="598"/>
      <c r="E44" s="599"/>
      <c r="F44" s="603"/>
      <c r="G44" s="599"/>
      <c r="H44" s="600"/>
      <c r="I44" s="601"/>
      <c r="J44" s="601"/>
      <c r="K44" s="598"/>
      <c r="L44" s="598"/>
      <c r="M44" s="602"/>
      <c r="N44" s="602"/>
      <c r="O44" s="602"/>
      <c r="P44" s="602"/>
      <c r="Q44" s="598"/>
      <c r="R44" s="598"/>
      <c r="S44" s="598"/>
      <c r="T44" s="600"/>
      <c r="U44" s="598"/>
      <c r="V44" s="598"/>
    </row>
    <row r="45" spans="1:22" s="604" customFormat="1" ht="242.25" x14ac:dyDescent="0.45">
      <c r="A45" s="598"/>
      <c r="B45" s="598" t="s">
        <v>404</v>
      </c>
      <c r="C45" s="598" t="s">
        <v>506</v>
      </c>
      <c r="D45" s="598" t="s">
        <v>892</v>
      </c>
      <c r="E45" s="599">
        <f>0.6*DGNBvægtning!I58</f>
        <v>1.3500000000000002E-2</v>
      </c>
      <c r="F45" s="600">
        <f>$F$3*G45</f>
        <v>2.7516124980047429</v>
      </c>
      <c r="G45" s="599">
        <f>E45/$E$3</f>
        <v>5.5032249960094856E-2</v>
      </c>
      <c r="H45" s="600">
        <v>3</v>
      </c>
      <c r="I45" s="601" t="s">
        <v>492</v>
      </c>
      <c r="J45" s="601"/>
      <c r="K45" s="598" t="s">
        <v>963</v>
      </c>
      <c r="L45" s="598"/>
      <c r="M45" s="602"/>
      <c r="N45" s="602">
        <f>IF('Sortering af spørgsmål'!$C$8=Projektforudsætninger!$C$20,'Dialogpart 1'!$J$18,IF('Sortering af spørgsmål'!$C$8=Projektforudsætninger!$C$21,'Dialogpart 2'!$J$18,IF('Sortering af spørgsmål'!$C$8=Projektforudsætninger!$C$22,'Dialogpart 3'!$J$18,IF('Sortering af spørgsmål'!$C$8=Projektforudsætninger!$C$23,'Dialogpart 4'!$J$18,IF('Sortering af spørgsmål'!$C$8=Projektforudsætninger!$C$24,'Dialogpart 5'!$J$18,IF('Sortering af spørgsmål'!$C$8=Projektforudsætninger!$C$25,'Dialogpart 6'!$J$18,IF('Sortering af spørgsmål'!$C$8=Projektforudsætninger!$C$22,'Dialogpart 7'!$J$18,IF('Sortering af spørgsmål'!$C$8=Projektforudsætninger!$C$23,#REF!,IF('Sortering af spørgsmål'!$C$8=Projektforudsætninger!$C$24,#REF!,IF('Sortering af spørgsmål'!$C$8=Projektforudsætninger!$C$25,#REF!,0))))))))))</f>
        <v>0</v>
      </c>
      <c r="O45" s="602"/>
      <c r="P45" s="602"/>
      <c r="Q45" s="598"/>
      <c r="R45" s="599">
        <f>'Sortering af spørgsmål'!$E$8*(Arbejdsark!E45/SUM($E$35:$E$45))</f>
        <v>0.03</v>
      </c>
      <c r="S45" s="599">
        <f>R45/$R$3</f>
        <v>9.9999999999999978E-2</v>
      </c>
      <c r="T45" s="600">
        <f>$T$3*S45</f>
        <v>4.9999999999999991</v>
      </c>
      <c r="U45" s="598"/>
      <c r="V45" s="598"/>
    </row>
    <row r="46" spans="1:22" s="604" customFormat="1" x14ac:dyDescent="0.45">
      <c r="A46" s="598"/>
      <c r="B46" s="598"/>
      <c r="C46" s="598"/>
      <c r="D46" s="598"/>
      <c r="E46" s="599"/>
      <c r="F46" s="603"/>
      <c r="G46" s="599"/>
      <c r="H46" s="600"/>
      <c r="I46" s="601"/>
      <c r="J46" s="601"/>
      <c r="K46" s="598"/>
      <c r="L46" s="598" t="s">
        <v>498</v>
      </c>
      <c r="M46" s="602">
        <v>1</v>
      </c>
      <c r="N46" s="602"/>
      <c r="O46" s="600">
        <f>ROUND(H45*M46,0)</f>
        <v>3</v>
      </c>
      <c r="P46" s="600">
        <f>O46-O46</f>
        <v>0</v>
      </c>
      <c r="Q46" s="598"/>
      <c r="R46" s="598"/>
      <c r="S46" s="598"/>
      <c r="T46" s="600"/>
      <c r="U46" s="600">
        <f>ROUND(T45*M46,0)</f>
        <v>5</v>
      </c>
      <c r="V46" s="598"/>
    </row>
    <row r="47" spans="1:22" s="604" customFormat="1" x14ac:dyDescent="0.45">
      <c r="A47" s="598"/>
      <c r="B47" s="598"/>
      <c r="C47" s="598"/>
      <c r="D47" s="598"/>
      <c r="E47" s="599"/>
      <c r="F47" s="603"/>
      <c r="G47" s="599"/>
      <c r="H47" s="600"/>
      <c r="I47" s="601"/>
      <c r="J47" s="601"/>
      <c r="K47" s="598"/>
      <c r="L47" s="598" t="s">
        <v>499</v>
      </c>
      <c r="M47" s="602">
        <v>0.65</v>
      </c>
      <c r="N47" s="602"/>
      <c r="O47" s="600">
        <f>ROUND(H45*M47,0)</f>
        <v>2</v>
      </c>
      <c r="P47" s="600">
        <f>O46-O47</f>
        <v>1</v>
      </c>
      <c r="Q47" s="598"/>
      <c r="R47" s="598"/>
      <c r="S47" s="598"/>
      <c r="T47" s="600"/>
      <c r="U47" s="600">
        <f>ROUND(T45*M47,0)</f>
        <v>3</v>
      </c>
      <c r="V47" s="598"/>
    </row>
    <row r="48" spans="1:22" s="604" customFormat="1" x14ac:dyDescent="0.45">
      <c r="A48" s="598"/>
      <c r="B48" s="598"/>
      <c r="C48" s="598"/>
      <c r="D48" s="598"/>
      <c r="E48" s="599"/>
      <c r="F48" s="603"/>
      <c r="G48" s="599"/>
      <c r="H48" s="600"/>
      <c r="I48" s="601"/>
      <c r="J48" s="601"/>
      <c r="K48" s="598"/>
      <c r="L48" s="598" t="s">
        <v>495</v>
      </c>
      <c r="M48" s="602">
        <v>0</v>
      </c>
      <c r="N48" s="602"/>
      <c r="O48" s="600">
        <f>ROUND(H45*M48,0)</f>
        <v>0</v>
      </c>
      <c r="P48" s="600">
        <f>O46-O48</f>
        <v>3</v>
      </c>
      <c r="Q48" s="598"/>
      <c r="R48" s="598"/>
      <c r="S48" s="598"/>
      <c r="T48" s="600"/>
      <c r="U48" s="600">
        <f>ROUND(T45*M48,0)</f>
        <v>0</v>
      </c>
      <c r="V48" s="598"/>
    </row>
    <row r="49" spans="1:22" s="604" customFormat="1" x14ac:dyDescent="0.45">
      <c r="A49" s="598"/>
      <c r="B49" s="598"/>
      <c r="C49" s="598"/>
      <c r="D49" s="598"/>
      <c r="E49" s="599"/>
      <c r="F49" s="603"/>
      <c r="G49" s="599"/>
      <c r="H49" s="600"/>
      <c r="I49" s="601"/>
      <c r="J49" s="601"/>
      <c r="K49" s="598"/>
      <c r="L49" s="598"/>
      <c r="M49" s="602"/>
      <c r="N49" s="602"/>
      <c r="O49" s="602"/>
      <c r="P49" s="602"/>
      <c r="Q49" s="598"/>
      <c r="R49" s="598"/>
      <c r="S49" s="598"/>
      <c r="T49" s="600"/>
      <c r="U49" s="598"/>
      <c r="V49" s="598"/>
    </row>
    <row r="50" spans="1:22" s="604" customFormat="1" x14ac:dyDescent="0.45">
      <c r="A50" s="598"/>
      <c r="B50" s="598"/>
      <c r="C50" s="598"/>
      <c r="D50" s="598"/>
      <c r="E50" s="599"/>
      <c r="F50" s="603"/>
      <c r="G50" s="599"/>
      <c r="H50" s="600"/>
      <c r="I50" s="601"/>
      <c r="J50" s="601"/>
      <c r="K50" s="598"/>
      <c r="L50" s="598"/>
      <c r="M50" s="602"/>
      <c r="N50" s="602"/>
      <c r="O50" s="602"/>
      <c r="P50" s="602"/>
      <c r="Q50" s="598"/>
      <c r="R50" s="598"/>
      <c r="S50" s="598"/>
      <c r="T50" s="600"/>
      <c r="U50" s="598"/>
      <c r="V50" s="598"/>
    </row>
    <row r="51" spans="1:22" s="604" customFormat="1" ht="309.75" customHeight="1" x14ac:dyDescent="0.45">
      <c r="A51" s="598" t="s">
        <v>507</v>
      </c>
      <c r="B51" s="598" t="s">
        <v>396</v>
      </c>
      <c r="C51" s="598" t="s">
        <v>667</v>
      </c>
      <c r="D51" s="598" t="s">
        <v>670</v>
      </c>
      <c r="E51" s="599">
        <f>DGNBvægtning!I63+DGNBvægtning!I119</f>
        <v>2.0286144578313256E-3</v>
      </c>
      <c r="F51" s="600">
        <f>$F$3*G51</f>
        <v>0.41347858487420663</v>
      </c>
      <c r="G51" s="599">
        <f>E51/$E$3</f>
        <v>8.2695716974841328E-3</v>
      </c>
      <c r="H51" s="600">
        <v>1</v>
      </c>
      <c r="I51" s="601" t="s">
        <v>492</v>
      </c>
      <c r="J51" s="601"/>
      <c r="K51" s="598" t="s">
        <v>964</v>
      </c>
      <c r="L51" s="598"/>
      <c r="M51" s="602"/>
      <c r="N51" s="602">
        <f>IF('Sortering af spørgsmål'!$C$9=Projektforudsætninger!$C$20,'Dialogpart 1'!$J$21,IF('Sortering af spørgsmål'!$C$9=Projektforudsætninger!$C$21,'Dialogpart 2'!$J$21,IF('Sortering af spørgsmål'!$C$9=Projektforudsætninger!$C$22,'Dialogpart 3'!$J$21,IF('Sortering af spørgsmål'!$C$9=Projektforudsætninger!$C$23,'Dialogpart 4'!$J$21,IF('Sortering af spørgsmål'!$C$9=Projektforudsætninger!$C$24,'Dialogpart 5'!$J$21,IF('Sortering af spørgsmål'!$C$9=Projektforudsætninger!$C$25,'Dialogpart 6'!$J$21,IF('Sortering af spørgsmål'!$C$9=Projektforudsætninger!$C$22,'Dialogpart 7'!$J$21,IF('Sortering af spørgsmål'!$C$9=Projektforudsætninger!$C$23,#REF!,IF('Sortering af spørgsmål'!$C$9=Projektforudsætninger!$C$24,#REF!,IF('Sortering af spørgsmål'!$C$9=Projektforudsætninger!$C$25,#REF!,0))))))))))</f>
        <v>0</v>
      </c>
      <c r="O51" s="602"/>
      <c r="P51" s="602"/>
      <c r="Q51" s="598"/>
      <c r="R51" s="599">
        <f>'Sortering af spørgsmål'!$E$9*(Arbejdsark!E51/SUM($E$51:$E$68))</f>
        <v>1.5903187721369543E-2</v>
      </c>
      <c r="S51" s="599">
        <f>R51/$R$3</f>
        <v>5.301062573789847E-2</v>
      </c>
      <c r="T51" s="600">
        <f>$T$3*S51</f>
        <v>2.6505312868949233</v>
      </c>
      <c r="U51" s="598"/>
      <c r="V51" s="598"/>
    </row>
    <row r="52" spans="1:22" s="604" customFormat="1" x14ac:dyDescent="0.45">
      <c r="A52" s="598"/>
      <c r="B52" s="598"/>
      <c r="C52" s="598"/>
      <c r="D52" s="598"/>
      <c r="E52" s="599"/>
      <c r="F52" s="603"/>
      <c r="G52" s="599"/>
      <c r="H52" s="600"/>
      <c r="I52" s="601"/>
      <c r="J52" s="601"/>
      <c r="K52" s="598"/>
      <c r="L52" s="598" t="s">
        <v>498</v>
      </c>
      <c r="M52" s="602">
        <v>1</v>
      </c>
      <c r="N52" s="602"/>
      <c r="O52" s="600">
        <f>ROUND(H51*M52,0)</f>
        <v>1</v>
      </c>
      <c r="P52" s="600">
        <f>O52-O52</f>
        <v>0</v>
      </c>
      <c r="Q52" s="598"/>
      <c r="R52" s="598"/>
      <c r="S52" s="598"/>
      <c r="T52" s="600"/>
      <c r="U52" s="600">
        <f>ROUND(T51*M52,0)</f>
        <v>3</v>
      </c>
      <c r="V52" s="598"/>
    </row>
    <row r="53" spans="1:22" s="604" customFormat="1" x14ac:dyDescent="0.45">
      <c r="A53" s="598"/>
      <c r="B53" s="598"/>
      <c r="C53" s="598"/>
      <c r="D53" s="598"/>
      <c r="E53" s="599"/>
      <c r="F53" s="603"/>
      <c r="G53" s="599"/>
      <c r="H53" s="600"/>
      <c r="I53" s="601"/>
      <c r="J53" s="601"/>
      <c r="K53" s="598"/>
      <c r="L53" s="598" t="s">
        <v>499</v>
      </c>
      <c r="M53" s="602">
        <v>0.5</v>
      </c>
      <c r="N53" s="602"/>
      <c r="O53" s="600">
        <f>ROUND(H51*M53,0)</f>
        <v>1</v>
      </c>
      <c r="P53" s="600">
        <f>O52-O53</f>
        <v>0</v>
      </c>
      <c r="Q53" s="598"/>
      <c r="R53" s="598"/>
      <c r="S53" s="598"/>
      <c r="T53" s="600"/>
      <c r="U53" s="600">
        <f>ROUND(T51*M53,0)</f>
        <v>1</v>
      </c>
      <c r="V53" s="598"/>
    </row>
    <row r="54" spans="1:22" s="604" customFormat="1" x14ac:dyDescent="0.45">
      <c r="A54" s="598"/>
      <c r="B54" s="598"/>
      <c r="C54" s="598"/>
      <c r="D54" s="598"/>
      <c r="E54" s="599"/>
      <c r="F54" s="603"/>
      <c r="G54" s="599"/>
      <c r="H54" s="600"/>
      <c r="I54" s="601"/>
      <c r="J54" s="601"/>
      <c r="K54" s="598"/>
      <c r="L54" s="598" t="s">
        <v>495</v>
      </c>
      <c r="M54" s="602">
        <v>0</v>
      </c>
      <c r="N54" s="602"/>
      <c r="O54" s="600">
        <f>ROUND(H51*M54,0)</f>
        <v>0</v>
      </c>
      <c r="P54" s="600">
        <f>O52-O54</f>
        <v>1</v>
      </c>
      <c r="Q54" s="598"/>
      <c r="R54" s="598"/>
      <c r="S54" s="598"/>
      <c r="T54" s="600"/>
      <c r="U54" s="600">
        <f>ROUND(T51*M54,0)</f>
        <v>0</v>
      </c>
      <c r="V54" s="598"/>
    </row>
    <row r="55" spans="1:22" s="604" customFormat="1" x14ac:dyDescent="0.45">
      <c r="A55" s="598"/>
      <c r="B55" s="598"/>
      <c r="C55" s="598"/>
      <c r="D55" s="598"/>
      <c r="E55" s="599"/>
      <c r="F55" s="603"/>
      <c r="G55" s="599"/>
      <c r="H55" s="600"/>
      <c r="I55" s="601"/>
      <c r="J55" s="601"/>
      <c r="K55" s="598"/>
      <c r="L55" s="598"/>
      <c r="M55" s="602"/>
      <c r="N55" s="602"/>
      <c r="O55" s="602"/>
      <c r="P55" s="602"/>
      <c r="Q55" s="598"/>
      <c r="R55" s="598"/>
      <c r="S55" s="598"/>
      <c r="T55" s="600"/>
      <c r="U55" s="602"/>
      <c r="V55" s="598"/>
    </row>
    <row r="56" spans="1:22" s="604" customFormat="1" x14ac:dyDescent="0.45">
      <c r="A56" s="598"/>
      <c r="B56" s="598"/>
      <c r="C56" s="598"/>
      <c r="D56" s="598"/>
      <c r="E56" s="599"/>
      <c r="F56" s="603"/>
      <c r="G56" s="599"/>
      <c r="H56" s="600"/>
      <c r="I56" s="601"/>
      <c r="J56" s="601"/>
      <c r="K56" s="598"/>
      <c r="L56" s="598"/>
      <c r="M56" s="602"/>
      <c r="N56" s="602"/>
      <c r="O56" s="602"/>
      <c r="P56" s="602"/>
      <c r="Q56" s="598"/>
      <c r="R56" s="598"/>
      <c r="S56" s="598"/>
      <c r="T56" s="600"/>
      <c r="U56" s="602"/>
      <c r="V56" s="598"/>
    </row>
    <row r="57" spans="1:22" s="604" customFormat="1" x14ac:dyDescent="0.45">
      <c r="A57" s="598"/>
      <c r="B57" s="598"/>
      <c r="C57" s="598"/>
      <c r="D57" s="598"/>
      <c r="E57" s="599"/>
      <c r="F57" s="603"/>
      <c r="G57" s="599"/>
      <c r="H57" s="600"/>
      <c r="I57" s="601"/>
      <c r="J57" s="601"/>
      <c r="K57" s="598"/>
      <c r="L57" s="598"/>
      <c r="M57" s="602"/>
      <c r="N57" s="602"/>
      <c r="O57" s="602"/>
      <c r="P57" s="602"/>
      <c r="Q57" s="598"/>
      <c r="R57" s="598"/>
      <c r="S57" s="598"/>
      <c r="T57" s="600"/>
      <c r="U57" s="598"/>
      <c r="V57" s="598"/>
    </row>
    <row r="58" spans="1:22" s="604" customFormat="1" ht="256.5" x14ac:dyDescent="0.45">
      <c r="A58" s="598"/>
      <c r="B58" s="598" t="s">
        <v>398</v>
      </c>
      <c r="C58" s="598" t="s">
        <v>666</v>
      </c>
      <c r="D58" s="598" t="s">
        <v>508</v>
      </c>
      <c r="E58" s="599">
        <f>DGNBvægtning!I120</f>
        <v>1.8072289156626509E-3</v>
      </c>
      <c r="F58" s="600">
        <f>$F$3*G58</f>
        <v>0.36835508674762285</v>
      </c>
      <c r="G58" s="599">
        <f>E58/$E$3</f>
        <v>7.3671017349524574E-3</v>
      </c>
      <c r="H58" s="600">
        <v>1</v>
      </c>
      <c r="I58" s="601" t="s">
        <v>492</v>
      </c>
      <c r="J58" s="601"/>
      <c r="K58" s="598" t="s">
        <v>965</v>
      </c>
      <c r="L58" s="598"/>
      <c r="M58" s="602"/>
      <c r="N58" s="602">
        <f>IF('Sortering af spørgsmål'!$C$9=Projektforudsætninger!$C$20,'Dialogpart 1'!$J$22,IF('Sortering af spørgsmål'!$C$9=Projektforudsætninger!$C$21,'Dialogpart 2'!$J$22,IF('Sortering af spørgsmål'!$C$9=Projektforudsætninger!$C$22,'Dialogpart 3'!$J$22,IF('Sortering af spørgsmål'!$C$9=Projektforudsætninger!$C$23,'Dialogpart 4'!$J$22,IF('Sortering af spørgsmål'!$C$9=Projektforudsætninger!$C$24,'Dialogpart 5'!$J$22,IF('Sortering af spørgsmål'!$C$9=Projektforudsætninger!$C$25,'Dialogpart 6'!$J$22,IF('Sortering af spørgsmål'!$C$9=Projektforudsætninger!$C$22,'Dialogpart 7'!$J$22,IF('Sortering af spørgsmål'!$C$9=Projektforudsætninger!$C$23,#REF!,IF('Sortering af spørgsmål'!$C$9=Projektforudsætninger!$C$24,#REF!,IF('Sortering af spørgsmål'!$C$9=Projektforudsætninger!$C$25,#REF!,0))))))))))</f>
        <v>0</v>
      </c>
      <c r="O58" s="602"/>
      <c r="P58" s="602"/>
      <c r="Q58" s="598"/>
      <c r="R58" s="599">
        <f>'Sortering af spørgsmål'!$E$9*(Arbejdsark!E58/SUM($E$51:$E$68))</f>
        <v>1.4167650531286897E-2</v>
      </c>
      <c r="S58" s="599">
        <f>R58/$R$3</f>
        <v>4.7225501770956316E-2</v>
      </c>
      <c r="T58" s="600">
        <f>$T$3*S58</f>
        <v>2.3612750885478158</v>
      </c>
      <c r="U58" s="598"/>
      <c r="V58" s="598"/>
    </row>
    <row r="59" spans="1:22" s="604" customFormat="1" ht="18" customHeight="1" x14ac:dyDescent="0.45">
      <c r="A59" s="598"/>
      <c r="B59" s="598"/>
      <c r="C59" s="598"/>
      <c r="D59" s="598"/>
      <c r="E59" s="599"/>
      <c r="F59" s="603"/>
      <c r="G59" s="599"/>
      <c r="H59" s="600"/>
      <c r="I59" s="601"/>
      <c r="J59" s="601"/>
      <c r="K59" s="598"/>
      <c r="L59" s="598" t="s">
        <v>498</v>
      </c>
      <c r="M59" s="602">
        <v>1</v>
      </c>
      <c r="N59" s="602"/>
      <c r="O59" s="600">
        <f>ROUND(H58*M59,0)</f>
        <v>1</v>
      </c>
      <c r="P59" s="600">
        <f>O59-O59</f>
        <v>0</v>
      </c>
      <c r="Q59" s="598"/>
      <c r="R59" s="598"/>
      <c r="S59" s="598"/>
      <c r="T59" s="600"/>
      <c r="U59" s="600">
        <f>ROUND(T58*M59,0)</f>
        <v>2</v>
      </c>
      <c r="V59" s="598"/>
    </row>
    <row r="60" spans="1:22" s="604" customFormat="1" ht="15.75" customHeight="1" x14ac:dyDescent="0.45">
      <c r="A60" s="598"/>
      <c r="B60" s="598"/>
      <c r="C60" s="598"/>
      <c r="D60" s="598"/>
      <c r="E60" s="599"/>
      <c r="F60" s="603"/>
      <c r="G60" s="599"/>
      <c r="H60" s="600"/>
      <c r="I60" s="601"/>
      <c r="J60" s="601"/>
      <c r="K60" s="598"/>
      <c r="L60" s="598" t="s">
        <v>499</v>
      </c>
      <c r="M60" s="602">
        <v>0.5</v>
      </c>
      <c r="N60" s="602"/>
      <c r="O60" s="600">
        <f>ROUND(H58*M60,0)</f>
        <v>1</v>
      </c>
      <c r="P60" s="600">
        <f>O59-O60</f>
        <v>0</v>
      </c>
      <c r="Q60" s="598"/>
      <c r="R60" s="598"/>
      <c r="S60" s="598"/>
      <c r="T60" s="600"/>
      <c r="U60" s="600">
        <f>ROUND(T58*M60,0)</f>
        <v>1</v>
      </c>
      <c r="V60" s="598"/>
    </row>
    <row r="61" spans="1:22" s="604" customFormat="1" ht="17.25" customHeight="1" x14ac:dyDescent="0.45">
      <c r="A61" s="598"/>
      <c r="B61" s="598"/>
      <c r="C61" s="598"/>
      <c r="D61" s="598"/>
      <c r="E61" s="599"/>
      <c r="F61" s="603"/>
      <c r="G61" s="599"/>
      <c r="H61" s="600"/>
      <c r="I61" s="601"/>
      <c r="J61" s="601"/>
      <c r="K61" s="598"/>
      <c r="L61" s="598" t="s">
        <v>495</v>
      </c>
      <c r="M61" s="602">
        <v>0</v>
      </c>
      <c r="N61" s="602"/>
      <c r="O61" s="600">
        <f>ROUND(H58*M61,0)</f>
        <v>0</v>
      </c>
      <c r="P61" s="600">
        <f>O59-O61</f>
        <v>1</v>
      </c>
      <c r="Q61" s="598"/>
      <c r="R61" s="598"/>
      <c r="S61" s="598"/>
      <c r="T61" s="600"/>
      <c r="U61" s="600">
        <f>ROUND(T58*M61,0)</f>
        <v>0</v>
      </c>
      <c r="V61" s="598"/>
    </row>
    <row r="62" spans="1:22" s="604" customFormat="1" x14ac:dyDescent="0.45">
      <c r="A62" s="598"/>
      <c r="B62" s="598"/>
      <c r="C62" s="598"/>
      <c r="D62" s="598"/>
      <c r="E62" s="599"/>
      <c r="F62" s="603"/>
      <c r="G62" s="599"/>
      <c r="H62" s="600"/>
      <c r="I62" s="601"/>
      <c r="J62" s="601"/>
      <c r="K62" s="598"/>
      <c r="L62" s="598"/>
      <c r="M62" s="602"/>
      <c r="N62" s="602"/>
      <c r="O62" s="602"/>
      <c r="P62" s="602"/>
      <c r="Q62" s="598"/>
      <c r="R62" s="598"/>
      <c r="S62" s="598"/>
      <c r="T62" s="600"/>
      <c r="U62" s="598"/>
      <c r="V62" s="598"/>
    </row>
    <row r="63" spans="1:22" s="604" customFormat="1" ht="256.5" x14ac:dyDescent="0.45">
      <c r="A63" s="598"/>
      <c r="B63" s="598" t="s">
        <v>462</v>
      </c>
      <c r="C63" s="598" t="s">
        <v>937</v>
      </c>
      <c r="D63" s="598" t="s">
        <v>893</v>
      </c>
      <c r="E63" s="599">
        <f>0.2*DGNBvægtning!I123</f>
        <v>5.421686746987953E-4</v>
      </c>
      <c r="F63" s="600">
        <f>$F$3*G63</f>
        <v>0.11050652602428689</v>
      </c>
      <c r="G63" s="599">
        <f>E63/$E$3</f>
        <v>2.2101305204857377E-3</v>
      </c>
      <c r="H63" s="600">
        <v>1</v>
      </c>
      <c r="I63" s="601" t="s">
        <v>492</v>
      </c>
      <c r="J63" s="601"/>
      <c r="K63" s="598" t="s">
        <v>966</v>
      </c>
      <c r="L63" s="598"/>
      <c r="M63" s="602"/>
      <c r="N63" s="602">
        <f>IF('Sortering af spørgsmål'!$C$9=Projektforudsætninger!$C$20,'Dialogpart 1'!$J$23,IF('Sortering af spørgsmål'!$C$9=Projektforudsætninger!$C$21,'Dialogpart 2'!$J$23,IF('Sortering af spørgsmål'!$C$9=Projektforudsætninger!$C$22,'Dialogpart 3'!$J$23,IF('Sortering af spørgsmål'!$C$9=Projektforudsætninger!$C$23,'Dialogpart 4'!$J$23,IF('Sortering af spørgsmål'!$C$9=Projektforudsætninger!$C$24,'Dialogpart 5'!$J$23,IF('Sortering af spørgsmål'!$C$9=Projektforudsætninger!$C$25,'Dialogpart 6'!$J$23,IF('Sortering af spørgsmål'!$C$9=Projektforudsætninger!$C$22,'Dialogpart 7'!$J$23,IF('Sortering af spørgsmål'!$C$9=Projektforudsætninger!$C$23,#REF!,IF('Sortering af spørgsmål'!$C$9=Projektforudsætninger!$C$24,#REF!,IF('Sortering af spørgsmål'!$C$9=Projektforudsætninger!$C$25,#REF!,0))))))))))</f>
        <v>0</v>
      </c>
      <c r="O63" s="602"/>
      <c r="P63" s="602"/>
      <c r="Q63" s="598"/>
      <c r="R63" s="599">
        <f>'Sortering af spørgsmål'!$E$9*(Arbejdsark!E63/SUM($E$51:$E$68))</f>
        <v>4.2502951593860697E-3</v>
      </c>
      <c r="S63" s="599">
        <f>R63/$R$3</f>
        <v>1.4167650531286897E-2</v>
      </c>
      <c r="T63" s="600">
        <f>$T$3*S63</f>
        <v>0.70838252656434486</v>
      </c>
      <c r="U63" s="598"/>
      <c r="V63" s="598"/>
    </row>
    <row r="64" spans="1:22" s="604" customFormat="1" x14ac:dyDescent="0.45">
      <c r="A64" s="598"/>
      <c r="B64" s="598"/>
      <c r="C64" s="598"/>
      <c r="D64" s="598"/>
      <c r="E64" s="599"/>
      <c r="F64" s="603"/>
      <c r="G64" s="599"/>
      <c r="H64" s="600"/>
      <c r="I64" s="601"/>
      <c r="J64" s="601"/>
      <c r="K64" s="598"/>
      <c r="L64" s="598" t="s">
        <v>498</v>
      </c>
      <c r="M64" s="602">
        <v>1</v>
      </c>
      <c r="N64" s="602"/>
      <c r="O64" s="600">
        <f>ROUND(H63*M64,0)</f>
        <v>1</v>
      </c>
      <c r="P64" s="600">
        <f>O64-O64</f>
        <v>0</v>
      </c>
      <c r="Q64" s="598"/>
      <c r="R64" s="598"/>
      <c r="S64" s="598"/>
      <c r="T64" s="600"/>
      <c r="U64" s="600">
        <f>ROUND(T63*M64,0)</f>
        <v>1</v>
      </c>
      <c r="V64" s="598"/>
    </row>
    <row r="65" spans="1:22" s="604" customFormat="1" x14ac:dyDescent="0.45">
      <c r="A65" s="598"/>
      <c r="B65" s="598"/>
      <c r="C65" s="598"/>
      <c r="D65" s="598"/>
      <c r="E65" s="599"/>
      <c r="F65" s="603"/>
      <c r="G65" s="599"/>
      <c r="H65" s="600"/>
      <c r="I65" s="601"/>
      <c r="J65" s="601"/>
      <c r="K65" s="598"/>
      <c r="L65" s="598" t="s">
        <v>499</v>
      </c>
      <c r="M65" s="602">
        <v>0.5</v>
      </c>
      <c r="N65" s="602"/>
      <c r="O65" s="600">
        <f>ROUND(H63*M65,0)</f>
        <v>1</v>
      </c>
      <c r="P65" s="600">
        <f>O64-O65</f>
        <v>0</v>
      </c>
      <c r="Q65" s="598"/>
      <c r="R65" s="598"/>
      <c r="S65" s="598"/>
      <c r="T65" s="600"/>
      <c r="U65" s="600">
        <f>ROUND(T63*M65,0)</f>
        <v>0</v>
      </c>
      <c r="V65" s="598"/>
    </row>
    <row r="66" spans="1:22" s="604" customFormat="1" x14ac:dyDescent="0.45">
      <c r="A66" s="598"/>
      <c r="B66" s="598"/>
      <c r="C66" s="598"/>
      <c r="D66" s="598"/>
      <c r="E66" s="599"/>
      <c r="F66" s="603"/>
      <c r="G66" s="599"/>
      <c r="H66" s="600"/>
      <c r="I66" s="601"/>
      <c r="J66" s="601"/>
      <c r="K66" s="598"/>
      <c r="L66" s="598" t="s">
        <v>495</v>
      </c>
      <c r="M66" s="602">
        <v>0</v>
      </c>
      <c r="N66" s="602"/>
      <c r="O66" s="600">
        <f>ROUND(H63*M66,0)</f>
        <v>0</v>
      </c>
      <c r="P66" s="600">
        <f>O64-O66</f>
        <v>1</v>
      </c>
      <c r="Q66" s="598"/>
      <c r="R66" s="598"/>
      <c r="S66" s="598"/>
      <c r="T66" s="600"/>
      <c r="U66" s="600">
        <f>ROUND(T63*M66,0)</f>
        <v>0</v>
      </c>
      <c r="V66" s="598"/>
    </row>
    <row r="67" spans="1:22" s="604" customFormat="1" x14ac:dyDescent="0.45">
      <c r="A67" s="598"/>
      <c r="B67" s="598"/>
      <c r="C67" s="598"/>
      <c r="D67" s="598"/>
      <c r="E67" s="599"/>
      <c r="F67" s="603"/>
      <c r="G67" s="599"/>
      <c r="H67" s="600"/>
      <c r="I67" s="601"/>
      <c r="J67" s="601"/>
      <c r="K67" s="598"/>
      <c r="L67" s="598"/>
      <c r="M67" s="602"/>
      <c r="N67" s="602"/>
      <c r="O67" s="602"/>
      <c r="P67" s="602"/>
      <c r="Q67" s="598"/>
      <c r="R67" s="598"/>
      <c r="S67" s="598"/>
      <c r="T67" s="600"/>
      <c r="U67" s="598"/>
      <c r="V67" s="598"/>
    </row>
    <row r="68" spans="1:22" s="604" customFormat="1" ht="299.25" x14ac:dyDescent="0.45">
      <c r="A68" s="598"/>
      <c r="B68" s="598" t="s">
        <v>763</v>
      </c>
      <c r="C68" s="598" t="s">
        <v>933</v>
      </c>
      <c r="D68" s="598" t="s">
        <v>894</v>
      </c>
      <c r="E68" s="599">
        <v>2E-3</v>
      </c>
      <c r="F68" s="600">
        <f>$F$3*G68</f>
        <v>0.40764629600070262</v>
      </c>
      <c r="G68" s="599">
        <f>E68/$E$3</f>
        <v>8.1529259200140529E-3</v>
      </c>
      <c r="H68" s="600">
        <v>1</v>
      </c>
      <c r="I68" s="601" t="s">
        <v>492</v>
      </c>
      <c r="J68" s="601"/>
      <c r="K68" s="598" t="s">
        <v>967</v>
      </c>
      <c r="L68" s="598"/>
      <c r="M68" s="602"/>
      <c r="N68" s="602">
        <f>IF('Sortering af spørgsmål'!$C$9=Projektforudsætninger!$C$20,'Dialogpart 1'!$J$24,IF('Sortering af spørgsmål'!$C$9=Projektforudsætninger!$C$21,'Dialogpart 2'!$J$24,IF('Sortering af spørgsmål'!$C$9=Projektforudsætninger!$C$22,'Dialogpart 3'!$J$24,IF('Sortering af spørgsmål'!$C$9=Projektforudsætninger!$C$23,'Dialogpart 4'!$J$24,IF('Sortering af spørgsmål'!$C$9=Projektforudsætninger!$C$24,'Dialogpart 5'!$J$24,IF('Sortering af spørgsmål'!$C$9=Projektforudsætninger!$C$25,'Dialogpart 6'!$J$24,IF('Sortering af spørgsmål'!$C$9=Projektforudsætninger!$C$22,'Dialogpart 7'!$J$24,IF('Sortering af spørgsmål'!$C$9=Projektforudsætninger!$C$23,#REF!,IF('Sortering af spørgsmål'!$C$9=Projektforudsætninger!$C$24,#REF!,IF('Sortering af spørgsmål'!$C$9=Projektforudsætninger!$C$25,#REF!,0))))))))))</f>
        <v>0</v>
      </c>
      <c r="O68" s="602"/>
      <c r="P68" s="602"/>
      <c r="Q68" s="598"/>
      <c r="R68" s="599">
        <f>'Sortering af spørgsmål'!$E$9*(Arbejdsark!E68/SUM($E$51:$E$68))</f>
        <v>1.5678866587957498E-2</v>
      </c>
      <c r="S68" s="599">
        <f>R68/$R$3</f>
        <v>5.2262888626524985E-2</v>
      </c>
      <c r="T68" s="600">
        <f>$T$3*S68</f>
        <v>2.6131444313262491</v>
      </c>
      <c r="U68" s="602"/>
      <c r="V68" s="598"/>
    </row>
    <row r="69" spans="1:22" s="604" customFormat="1" x14ac:dyDescent="0.45">
      <c r="A69" s="598"/>
      <c r="B69" s="598"/>
      <c r="C69" s="598"/>
      <c r="D69" s="598"/>
      <c r="E69" s="599"/>
      <c r="F69" s="603"/>
      <c r="G69" s="599"/>
      <c r="H69" s="600"/>
      <c r="I69" s="601"/>
      <c r="J69" s="601"/>
      <c r="K69" s="598"/>
      <c r="L69" s="598" t="s">
        <v>498</v>
      </c>
      <c r="M69" s="602">
        <v>1</v>
      </c>
      <c r="N69" s="603"/>
      <c r="O69" s="600">
        <f>ROUND(H68*M69,0)</f>
        <v>1</v>
      </c>
      <c r="P69" s="600">
        <f>O69-O69</f>
        <v>0</v>
      </c>
      <c r="Q69" s="598"/>
      <c r="R69" s="598"/>
      <c r="S69" s="598"/>
      <c r="T69" s="600"/>
      <c r="U69" s="600">
        <f>ROUND(T68*M69,0)</f>
        <v>3</v>
      </c>
      <c r="V69" s="598"/>
    </row>
    <row r="70" spans="1:22" s="604" customFormat="1" x14ac:dyDescent="0.45">
      <c r="A70" s="598"/>
      <c r="B70" s="598"/>
      <c r="C70" s="598"/>
      <c r="D70" s="598"/>
      <c r="E70" s="599"/>
      <c r="F70" s="603"/>
      <c r="G70" s="599"/>
      <c r="H70" s="600"/>
      <c r="I70" s="601"/>
      <c r="J70" s="601"/>
      <c r="K70" s="598"/>
      <c r="L70" s="598" t="s">
        <v>499</v>
      </c>
      <c r="M70" s="602">
        <v>0.5</v>
      </c>
      <c r="N70" s="603"/>
      <c r="O70" s="600">
        <f>ROUND(H68*M70,0)</f>
        <v>1</v>
      </c>
      <c r="P70" s="600">
        <f>O69-O70</f>
        <v>0</v>
      </c>
      <c r="Q70" s="598"/>
      <c r="R70" s="598"/>
      <c r="S70" s="598"/>
      <c r="T70" s="600"/>
      <c r="U70" s="600">
        <f>ROUND(T68*M70,0)</f>
        <v>1</v>
      </c>
      <c r="V70" s="598"/>
    </row>
    <row r="71" spans="1:22" s="604" customFormat="1" x14ac:dyDescent="0.45">
      <c r="A71" s="598"/>
      <c r="B71" s="598"/>
      <c r="C71" s="598"/>
      <c r="D71" s="598"/>
      <c r="E71" s="599"/>
      <c r="F71" s="603"/>
      <c r="G71" s="599"/>
      <c r="H71" s="600"/>
      <c r="I71" s="601"/>
      <c r="J71" s="601"/>
      <c r="K71" s="598"/>
      <c r="L71" s="598" t="s">
        <v>495</v>
      </c>
      <c r="M71" s="602">
        <v>0</v>
      </c>
      <c r="N71" s="603"/>
      <c r="O71" s="600">
        <f>ROUND(H68*M71,0)</f>
        <v>0</v>
      </c>
      <c r="P71" s="600">
        <f>O69-O71</f>
        <v>1</v>
      </c>
      <c r="Q71" s="598"/>
      <c r="R71" s="598"/>
      <c r="S71" s="598"/>
      <c r="T71" s="600"/>
      <c r="U71" s="600">
        <f>ROUND(T68*M71,0)</f>
        <v>0</v>
      </c>
      <c r="V71" s="598"/>
    </row>
    <row r="72" spans="1:22" s="604" customFormat="1" x14ac:dyDescent="0.45">
      <c r="A72" s="598"/>
      <c r="B72" s="598"/>
      <c r="C72" s="598"/>
      <c r="D72" s="598"/>
      <c r="E72" s="599"/>
      <c r="F72" s="603"/>
      <c r="G72" s="599"/>
      <c r="H72" s="600"/>
      <c r="I72" s="601"/>
      <c r="J72" s="601"/>
      <c r="K72" s="598"/>
      <c r="L72" s="598"/>
      <c r="M72" s="602"/>
      <c r="N72" s="602"/>
      <c r="O72" s="602"/>
      <c r="P72" s="602"/>
      <c r="Q72" s="598"/>
      <c r="R72" s="598"/>
      <c r="S72" s="598"/>
      <c r="T72" s="600"/>
      <c r="U72" s="598"/>
      <c r="V72" s="598"/>
    </row>
    <row r="73" spans="1:22" s="604" customFormat="1" ht="156.75" x14ac:dyDescent="0.45">
      <c r="A73" s="598" t="s">
        <v>509</v>
      </c>
      <c r="B73" s="598" t="s">
        <v>732</v>
      </c>
      <c r="C73" s="598" t="s">
        <v>509</v>
      </c>
      <c r="D73" s="598" t="s">
        <v>671</v>
      </c>
      <c r="E73" s="599">
        <f>DGNBvægtning!I61</f>
        <v>4.5000000000000005E-3</v>
      </c>
      <c r="F73" s="600">
        <f>$F$3*G73</f>
        <v>0.91720416600158095</v>
      </c>
      <c r="G73" s="599">
        <f>E73/$E$3</f>
        <v>1.834408332003162E-2</v>
      </c>
      <c r="H73" s="600">
        <v>1</v>
      </c>
      <c r="I73" s="601" t="s">
        <v>492</v>
      </c>
      <c r="J73" s="601"/>
      <c r="K73" s="598" t="s">
        <v>968</v>
      </c>
      <c r="L73" s="598"/>
      <c r="M73" s="602"/>
      <c r="N73" s="602">
        <f>IF('Sortering af spørgsmål'!$C$10=Projektforudsætninger!$C$20,'Dialogpart 1'!$J$27,IF('Sortering af spørgsmål'!$C$10=Projektforudsætninger!$C$21,'Dialogpart 2'!$J$27,IF('Sortering af spørgsmål'!$C$10=Projektforudsætninger!$C$22,'Dialogpart 3'!$J$27,IF('Sortering af spørgsmål'!$C$10=Projektforudsætninger!$C$23,'Dialogpart 4'!$J$27,IF('Sortering af spørgsmål'!$C$10=Projektforudsætninger!$C$24,'Dialogpart 5'!$J$27,IF('Sortering af spørgsmål'!$C$10=Projektforudsætninger!$C$25,'Dialogpart 6'!$J$27,IF('Sortering af spørgsmål'!$C$10=Projektforudsætninger!$C$22,'Dialogpart 7'!$J$27,IF('Sortering af spørgsmål'!$C$10=Projektforudsætninger!$C$23,#REF!,IF('Sortering af spørgsmål'!$C$10=Projektforudsætninger!$C$24,#REF!,IF('Sortering af spørgsmål'!$C$10=Projektforudsætninger!$C$25,#REF!,0))))))))))</f>
        <v>0</v>
      </c>
      <c r="O73" s="602"/>
      <c r="P73" s="602"/>
      <c r="Q73" s="598"/>
      <c r="R73" s="599">
        <f>'Sortering af spørgsmål'!$E$10*(Arbejdsark!E73/SUM(E73))</f>
        <v>0.05</v>
      </c>
      <c r="S73" s="599">
        <f>R73/$R$3</f>
        <v>0.16666666666666666</v>
      </c>
      <c r="T73" s="600">
        <f>$T$3*S73</f>
        <v>8.3333333333333321</v>
      </c>
      <c r="U73" s="598"/>
      <c r="V73" s="598"/>
    </row>
    <row r="74" spans="1:22" s="604" customFormat="1" x14ac:dyDescent="0.45">
      <c r="A74" s="598"/>
      <c r="B74" s="598"/>
      <c r="C74" s="598"/>
      <c r="D74" s="598"/>
      <c r="E74" s="599"/>
      <c r="F74" s="603"/>
      <c r="G74" s="599"/>
      <c r="H74" s="600"/>
      <c r="I74" s="601"/>
      <c r="J74" s="601"/>
      <c r="K74" s="598"/>
      <c r="L74" s="598" t="s">
        <v>498</v>
      </c>
      <c r="M74" s="602">
        <v>1</v>
      </c>
      <c r="N74" s="602"/>
      <c r="O74" s="600">
        <f>ROUND(H73*M74,0)</f>
        <v>1</v>
      </c>
      <c r="P74" s="600">
        <f>O74-O74</f>
        <v>0</v>
      </c>
      <c r="Q74" s="598"/>
      <c r="R74" s="598"/>
      <c r="S74" s="598"/>
      <c r="T74" s="600"/>
      <c r="U74" s="600">
        <f>ROUND(T73*M74,0)</f>
        <v>8</v>
      </c>
      <c r="V74" s="598"/>
    </row>
    <row r="75" spans="1:22" s="604" customFormat="1" x14ac:dyDescent="0.45">
      <c r="A75" s="598"/>
      <c r="B75" s="598"/>
      <c r="C75" s="598"/>
      <c r="D75" s="598"/>
      <c r="E75" s="599"/>
      <c r="F75" s="603"/>
      <c r="G75" s="599"/>
      <c r="H75" s="600"/>
      <c r="I75" s="601"/>
      <c r="J75" s="601"/>
      <c r="K75" s="598"/>
      <c r="L75" s="598" t="s">
        <v>499</v>
      </c>
      <c r="M75" s="602">
        <v>0.5</v>
      </c>
      <c r="N75" s="602"/>
      <c r="O75" s="600">
        <f>ROUND(H73*M75,0)</f>
        <v>1</v>
      </c>
      <c r="P75" s="600">
        <f>O74-O75</f>
        <v>0</v>
      </c>
      <c r="Q75" s="598"/>
      <c r="R75" s="598"/>
      <c r="S75" s="598"/>
      <c r="T75" s="600"/>
      <c r="U75" s="600">
        <f>ROUND(T73*M75,0)</f>
        <v>4</v>
      </c>
      <c r="V75" s="598"/>
    </row>
    <row r="76" spans="1:22" s="604" customFormat="1" x14ac:dyDescent="0.45">
      <c r="A76" s="598"/>
      <c r="B76" s="598"/>
      <c r="C76" s="598"/>
      <c r="D76" s="598"/>
      <c r="E76" s="599"/>
      <c r="F76" s="603"/>
      <c r="G76" s="599"/>
      <c r="H76" s="600"/>
      <c r="I76" s="601"/>
      <c r="J76" s="601"/>
      <c r="K76" s="598"/>
      <c r="L76" s="598" t="s">
        <v>495</v>
      </c>
      <c r="M76" s="602">
        <v>0</v>
      </c>
      <c r="N76" s="602"/>
      <c r="O76" s="600">
        <f>ROUND(H73*M76,0)</f>
        <v>0</v>
      </c>
      <c r="P76" s="600">
        <f>O74-O76</f>
        <v>1</v>
      </c>
      <c r="Q76" s="598"/>
      <c r="R76" s="598"/>
      <c r="S76" s="598"/>
      <c r="T76" s="600"/>
      <c r="U76" s="600">
        <f>ROUND(T73*M76,0)</f>
        <v>0</v>
      </c>
      <c r="V76" s="598"/>
    </row>
    <row r="77" spans="1:22" s="604" customFormat="1" x14ac:dyDescent="0.45">
      <c r="A77" s="598"/>
      <c r="B77" s="598"/>
      <c r="C77" s="598"/>
      <c r="D77" s="598"/>
      <c r="E77" s="599"/>
      <c r="F77" s="603"/>
      <c r="G77" s="599"/>
      <c r="H77" s="600"/>
      <c r="I77" s="601"/>
      <c r="J77" s="601"/>
      <c r="K77" s="598"/>
      <c r="L77" s="598"/>
      <c r="M77" s="602"/>
      <c r="N77" s="602"/>
      <c r="O77" s="602"/>
      <c r="P77" s="602"/>
      <c r="Q77" s="598"/>
      <c r="R77" s="598"/>
      <c r="S77" s="598"/>
      <c r="T77" s="600"/>
      <c r="U77" s="598"/>
      <c r="V77" s="598"/>
    </row>
    <row r="78" spans="1:22" s="604" customFormat="1" ht="213.75" x14ac:dyDescent="0.45">
      <c r="A78" s="598" t="s">
        <v>510</v>
      </c>
      <c r="B78" s="598" t="s">
        <v>733</v>
      </c>
      <c r="C78" s="598" t="s">
        <v>511</v>
      </c>
      <c r="D78" s="598" t="s">
        <v>895</v>
      </c>
      <c r="E78" s="599">
        <f>DGNBvægtning!I62+DGNBvægtning!I63+DGNBvægtning!I66</f>
        <v>1.0125000000000002E-2</v>
      </c>
      <c r="F78" s="600">
        <f>$F$3*G78</f>
        <v>2.0637093735035572</v>
      </c>
      <c r="G78" s="599">
        <f>E78/$E$3</f>
        <v>4.1274187470071146E-2</v>
      </c>
      <c r="H78" s="600">
        <v>2</v>
      </c>
      <c r="I78" s="601" t="s">
        <v>492</v>
      </c>
      <c r="J78" s="601"/>
      <c r="K78" s="598" t="s">
        <v>969</v>
      </c>
      <c r="L78" s="598"/>
      <c r="M78" s="602"/>
      <c r="N78" s="602">
        <f>IF('Sortering af spørgsmål'!$C$11=Projektforudsætninger!$C$20,'Dialogpart 1'!$J$30,IF('Sortering af spørgsmål'!$C$11=Projektforudsætninger!$C$21,'Dialogpart 2'!$J$30,IF('Sortering af spørgsmål'!$C$11=Projektforudsætninger!$C$22,'Dialogpart 3'!$J$30,IF('Sortering af spørgsmål'!$C$11=Projektforudsætninger!$C$23,'Dialogpart 4'!$J$30,IF('Sortering af spørgsmål'!$C$11=Projektforudsætninger!$C$24,'Dialogpart 5'!$J$30,IF('Sortering af spørgsmål'!$C$11=Projektforudsætninger!$C$25,'Dialogpart 6'!$J$30,IF('Sortering af spørgsmål'!$C$11=Projektforudsætninger!$C$22,'Dialogpart 7'!$J$30,IF('Sortering af spørgsmål'!$C$11=Projektforudsætninger!$C$23,#REF!,IF('Sortering af spørgsmål'!$C$11=Projektforudsætninger!$C$24,#REF!,IF('Sortering af spørgsmål'!$C$11=Projektforudsætninger!$C$25,#REF!,0))))))))))</f>
        <v>0</v>
      </c>
      <c r="O78" s="602"/>
      <c r="P78" s="602"/>
      <c r="Q78" s="598"/>
      <c r="R78" s="599">
        <f>'Sortering af spørgsmål'!$E$11*(Arbejdsark!E78/SUM($E$78:$E$84))</f>
        <v>3.4615384615384617E-2</v>
      </c>
      <c r="S78" s="599">
        <f>R78/$R$3</f>
        <v>0.11538461538461538</v>
      </c>
      <c r="T78" s="600">
        <f>$T$3*S78</f>
        <v>5.7692307692307692</v>
      </c>
      <c r="U78" s="598"/>
      <c r="V78" s="598"/>
    </row>
    <row r="79" spans="1:22" s="604" customFormat="1" x14ac:dyDescent="0.45">
      <c r="A79" s="598"/>
      <c r="B79" s="598"/>
      <c r="C79" s="598"/>
      <c r="D79" s="598"/>
      <c r="E79" s="599"/>
      <c r="F79" s="603"/>
      <c r="G79" s="599"/>
      <c r="H79" s="600"/>
      <c r="I79" s="601"/>
      <c r="J79" s="601"/>
      <c r="K79" s="598"/>
      <c r="L79" s="598" t="s">
        <v>498</v>
      </c>
      <c r="M79" s="602">
        <v>1</v>
      </c>
      <c r="N79" s="602"/>
      <c r="O79" s="600">
        <f>ROUND(H78*M79,0)</f>
        <v>2</v>
      </c>
      <c r="P79" s="600">
        <f>O79-O79</f>
        <v>0</v>
      </c>
      <c r="Q79" s="598"/>
      <c r="R79" s="598"/>
      <c r="S79" s="598"/>
      <c r="T79" s="600"/>
      <c r="U79" s="600">
        <f>ROUND(T78*M79,0)</f>
        <v>6</v>
      </c>
      <c r="V79" s="598"/>
    </row>
    <row r="80" spans="1:22" s="604" customFormat="1" ht="28.5" x14ac:dyDescent="0.45">
      <c r="A80" s="598"/>
      <c r="B80" s="598"/>
      <c r="C80" s="598"/>
      <c r="D80" s="598"/>
      <c r="E80" s="599"/>
      <c r="F80" s="603"/>
      <c r="G80" s="599"/>
      <c r="H80" s="600"/>
      <c r="I80" s="601"/>
      <c r="J80" s="601"/>
      <c r="K80" s="598" t="s">
        <v>512</v>
      </c>
      <c r="L80" s="598" t="s">
        <v>499</v>
      </c>
      <c r="M80" s="602">
        <v>0.5</v>
      </c>
      <c r="N80" s="602"/>
      <c r="O80" s="600">
        <f>ROUND(H78*M80,0)</f>
        <v>1</v>
      </c>
      <c r="P80" s="600">
        <f>O79-O80</f>
        <v>1</v>
      </c>
      <c r="Q80" s="598"/>
      <c r="R80" s="598"/>
      <c r="S80" s="598"/>
      <c r="T80" s="600"/>
      <c r="U80" s="600">
        <f>ROUND(T78*M80,0)</f>
        <v>3</v>
      </c>
      <c r="V80" s="598"/>
    </row>
    <row r="81" spans="1:22" s="604" customFormat="1" ht="28.5" x14ac:dyDescent="0.45">
      <c r="A81" s="598"/>
      <c r="B81" s="598"/>
      <c r="C81" s="598"/>
      <c r="D81" s="598"/>
      <c r="E81" s="599"/>
      <c r="F81" s="603"/>
      <c r="G81" s="599"/>
      <c r="H81" s="600"/>
      <c r="I81" s="601"/>
      <c r="J81" s="601"/>
      <c r="K81" s="598" t="s">
        <v>512</v>
      </c>
      <c r="L81" s="598" t="s">
        <v>495</v>
      </c>
      <c r="M81" s="602">
        <v>0.2</v>
      </c>
      <c r="N81" s="602"/>
      <c r="O81" s="600">
        <f>ROUND(H78*M81,0)</f>
        <v>0</v>
      </c>
      <c r="P81" s="600">
        <f>O79-O81</f>
        <v>2</v>
      </c>
      <c r="Q81" s="598"/>
      <c r="R81" s="598"/>
      <c r="S81" s="598"/>
      <c r="T81" s="600"/>
      <c r="U81" s="600">
        <f>ROUND(T78*M81,0)</f>
        <v>1</v>
      </c>
      <c r="V81" s="598"/>
    </row>
    <row r="82" spans="1:22" s="604" customFormat="1" x14ac:dyDescent="0.45">
      <c r="A82" s="598"/>
      <c r="B82" s="598"/>
      <c r="C82" s="598"/>
      <c r="D82" s="598"/>
      <c r="E82" s="599"/>
      <c r="F82" s="603"/>
      <c r="G82" s="599"/>
      <c r="H82" s="600"/>
      <c r="I82" s="601"/>
      <c r="J82" s="601"/>
      <c r="K82" s="598"/>
      <c r="L82" s="598"/>
      <c r="M82" s="602"/>
      <c r="N82" s="602"/>
      <c r="O82" s="602"/>
      <c r="P82" s="602"/>
      <c r="Q82" s="598"/>
      <c r="R82" s="598"/>
      <c r="S82" s="598"/>
      <c r="T82" s="600"/>
      <c r="U82" s="598"/>
      <c r="V82" s="598"/>
    </row>
    <row r="83" spans="1:22" s="604" customFormat="1" x14ac:dyDescent="0.45">
      <c r="A83" s="598"/>
      <c r="B83" s="598"/>
      <c r="C83" s="598"/>
      <c r="D83" s="598"/>
      <c r="E83" s="599"/>
      <c r="F83" s="603"/>
      <c r="G83" s="599"/>
      <c r="H83" s="600"/>
      <c r="I83" s="601"/>
      <c r="J83" s="601"/>
      <c r="K83" s="598"/>
      <c r="L83" s="598"/>
      <c r="M83" s="602"/>
      <c r="N83" s="602"/>
      <c r="O83" s="602"/>
      <c r="P83" s="602"/>
      <c r="Q83" s="598"/>
      <c r="R83" s="598"/>
      <c r="S83" s="598"/>
      <c r="T83" s="600"/>
      <c r="U83" s="598"/>
      <c r="V83" s="598"/>
    </row>
    <row r="84" spans="1:22" s="604" customFormat="1" ht="333" customHeight="1" x14ac:dyDescent="0.45">
      <c r="A84" s="598"/>
      <c r="B84" s="598" t="s">
        <v>734</v>
      </c>
      <c r="C84" s="598" t="s">
        <v>938</v>
      </c>
      <c r="D84" s="598" t="s">
        <v>672</v>
      </c>
      <c r="E84" s="599">
        <f>DGNBvægtning!I60</f>
        <v>4.5000000000000005E-3</v>
      </c>
      <c r="F84" s="600">
        <f>$F$3*G84</f>
        <v>0.91720416600158095</v>
      </c>
      <c r="G84" s="599">
        <f>E84/$E$3</f>
        <v>1.834408332003162E-2</v>
      </c>
      <c r="H84" s="600">
        <v>1</v>
      </c>
      <c r="I84" s="601" t="s">
        <v>492</v>
      </c>
      <c r="J84" s="601"/>
      <c r="K84" s="598" t="s">
        <v>970</v>
      </c>
      <c r="L84" s="598"/>
      <c r="M84" s="602"/>
      <c r="N84" s="602">
        <f>IF('Sortering af spørgsmål'!$C$11=Projektforudsætninger!$C$20,'Dialogpart 1'!$J$31,IF('Sortering af spørgsmål'!$C$11=Projektforudsætninger!$C$21,'Dialogpart 2'!$J$31,IF('Sortering af spørgsmål'!$C$11=Projektforudsætninger!$C$22,'Dialogpart 3'!$J$31,IF('Sortering af spørgsmål'!$C$11=Projektforudsætninger!$C$23,'Dialogpart 4'!$J$31,IF('Sortering af spørgsmål'!$C$11=Projektforudsætninger!$C$24,'Dialogpart 5'!$J$31,IF('Sortering af spørgsmål'!$C$11=Projektforudsætninger!$C$25,'Dialogpart 6'!$J$31,IF('Sortering af spørgsmål'!$C$11=Projektforudsætninger!$C$22,'Dialogpart 7'!$J$31,IF('Sortering af spørgsmål'!$C$11=Projektforudsætninger!$C$23,#REF!,IF('Sortering af spørgsmål'!$C$11=Projektforudsætninger!$C$24,#REF!,IF('Sortering af spørgsmål'!$C$11=Projektforudsætninger!$C$25,#REF!,0))))))))))</f>
        <v>0</v>
      </c>
      <c r="O84" s="602"/>
      <c r="P84" s="602"/>
      <c r="Q84" s="598"/>
      <c r="R84" s="599">
        <f>'Sortering af spørgsmål'!$E$11*(Arbejdsark!E84/SUM($E$78:$E$84))</f>
        <v>1.5384615384615384E-2</v>
      </c>
      <c r="S84" s="599">
        <f>R84/$R$3</f>
        <v>5.1282051282051273E-2</v>
      </c>
      <c r="T84" s="600">
        <f>$T$3*S84</f>
        <v>2.5641025641025639</v>
      </c>
      <c r="U84" s="598"/>
      <c r="V84" s="598"/>
    </row>
    <row r="85" spans="1:22" s="604" customFormat="1" x14ac:dyDescent="0.45">
      <c r="A85" s="598"/>
      <c r="B85" s="598"/>
      <c r="C85" s="598"/>
      <c r="D85" s="598"/>
      <c r="E85" s="599"/>
      <c r="F85" s="603"/>
      <c r="G85" s="599"/>
      <c r="H85" s="600"/>
      <c r="I85" s="601"/>
      <c r="J85" s="601"/>
      <c r="K85" s="598"/>
      <c r="L85" s="598" t="s">
        <v>498</v>
      </c>
      <c r="M85" s="602">
        <v>1</v>
      </c>
      <c r="N85" s="602"/>
      <c r="O85" s="600">
        <f>ROUND(H84*M85,0)</f>
        <v>1</v>
      </c>
      <c r="P85" s="600">
        <f>O85-O85</f>
        <v>0</v>
      </c>
      <c r="Q85" s="598"/>
      <c r="R85" s="598"/>
      <c r="S85" s="598"/>
      <c r="T85" s="600"/>
      <c r="U85" s="600">
        <f>ROUND(T84*M85,0)</f>
        <v>3</v>
      </c>
      <c r="V85" s="598"/>
    </row>
    <row r="86" spans="1:22" s="604" customFormat="1" x14ac:dyDescent="0.45">
      <c r="A86" s="598"/>
      <c r="B86" s="598"/>
      <c r="C86" s="598"/>
      <c r="D86" s="598"/>
      <c r="E86" s="599"/>
      <c r="F86" s="603"/>
      <c r="G86" s="599"/>
      <c r="H86" s="600"/>
      <c r="I86" s="601"/>
      <c r="J86" s="601"/>
      <c r="K86" s="598"/>
      <c r="L86" s="598" t="s">
        <v>499</v>
      </c>
      <c r="M86" s="602">
        <f>20/40</f>
        <v>0.5</v>
      </c>
      <c r="N86" s="602"/>
      <c r="O86" s="600">
        <f>ROUND(H84*M86,0)</f>
        <v>1</v>
      </c>
      <c r="P86" s="600">
        <f>O85-O86</f>
        <v>0</v>
      </c>
      <c r="Q86" s="598"/>
      <c r="R86" s="598"/>
      <c r="S86" s="598"/>
      <c r="T86" s="600"/>
      <c r="U86" s="600">
        <f>ROUND(T84*M86,0)</f>
        <v>1</v>
      </c>
      <c r="V86" s="598"/>
    </row>
    <row r="87" spans="1:22" s="604" customFormat="1" ht="28.5" x14ac:dyDescent="0.45">
      <c r="A87" s="598"/>
      <c r="B87" s="598"/>
      <c r="C87" s="598"/>
      <c r="D87" s="598"/>
      <c r="E87" s="599"/>
      <c r="F87" s="603"/>
      <c r="G87" s="599"/>
      <c r="H87" s="600"/>
      <c r="I87" s="601"/>
      <c r="J87" s="601"/>
      <c r="K87" s="598"/>
      <c r="L87" s="598" t="s">
        <v>658</v>
      </c>
      <c r="M87" s="602">
        <v>0</v>
      </c>
      <c r="N87" s="602"/>
      <c r="O87" s="600">
        <f>ROUND(H84*M87,0)</f>
        <v>0</v>
      </c>
      <c r="P87" s="600">
        <f>O85-O87</f>
        <v>1</v>
      </c>
      <c r="Q87" s="598"/>
      <c r="R87" s="598"/>
      <c r="S87" s="598"/>
      <c r="T87" s="600"/>
      <c r="U87" s="600">
        <f>ROUND(T84*M87,0)</f>
        <v>0</v>
      </c>
      <c r="V87" s="598"/>
    </row>
    <row r="88" spans="1:22" s="604" customFormat="1" x14ac:dyDescent="0.45">
      <c r="A88" s="598"/>
      <c r="B88" s="598"/>
      <c r="C88" s="598"/>
      <c r="D88" s="598"/>
      <c r="E88" s="599"/>
      <c r="F88" s="603"/>
      <c r="G88" s="599"/>
      <c r="H88" s="600"/>
      <c r="I88" s="601"/>
      <c r="J88" s="601"/>
      <c r="K88" s="598"/>
      <c r="L88" s="598"/>
      <c r="M88" s="602"/>
      <c r="N88" s="602"/>
      <c r="O88" s="602"/>
      <c r="P88" s="602"/>
      <c r="Q88" s="598"/>
      <c r="R88" s="598"/>
      <c r="S88" s="598"/>
      <c r="T88" s="600"/>
      <c r="U88" s="598"/>
      <c r="V88" s="598"/>
    </row>
    <row r="89" spans="1:22" s="604" customFormat="1" ht="28.5" x14ac:dyDescent="0.45">
      <c r="A89" s="612" t="s">
        <v>513</v>
      </c>
      <c r="B89" s="598"/>
      <c r="C89" s="598"/>
      <c r="D89" s="598"/>
      <c r="E89" s="599"/>
      <c r="F89" s="603"/>
      <c r="G89" s="599"/>
      <c r="H89" s="600"/>
      <c r="I89" s="601"/>
      <c r="J89" s="601"/>
      <c r="K89" s="598"/>
      <c r="L89" s="598"/>
      <c r="M89" s="602"/>
      <c r="N89" s="602"/>
      <c r="O89" s="602"/>
      <c r="P89" s="602"/>
      <c r="Q89" s="598"/>
      <c r="R89" s="598"/>
      <c r="S89" s="598"/>
      <c r="T89" s="600"/>
      <c r="U89" s="598"/>
      <c r="V89" s="598"/>
    </row>
    <row r="90" spans="1:22" s="611" customFormat="1" x14ac:dyDescent="0.45">
      <c r="B90" s="612"/>
      <c r="C90" s="612"/>
      <c r="D90" s="612"/>
      <c r="E90" s="613">
        <f>SUM(E91:E163)</f>
        <v>0.20156117782165453</v>
      </c>
      <c r="F90" s="614">
        <v>50</v>
      </c>
      <c r="G90" s="613"/>
      <c r="H90" s="621">
        <f>SUM(H91:H163)</f>
        <v>50</v>
      </c>
      <c r="I90" s="615"/>
      <c r="J90" s="615"/>
      <c r="K90" s="612"/>
      <c r="L90" s="612"/>
      <c r="M90" s="719"/>
      <c r="N90" s="719"/>
      <c r="O90" s="720"/>
      <c r="P90" s="721"/>
      <c r="Q90" s="616"/>
      <c r="R90" s="617">
        <f>SUM(R91:R163)</f>
        <v>0.11161764705882354</v>
      </c>
      <c r="S90" s="612"/>
      <c r="T90" s="618">
        <v>50</v>
      </c>
      <c r="U90" s="612"/>
      <c r="V90" s="619"/>
    </row>
    <row r="91" spans="1:22" s="604" customFormat="1" ht="299.25" x14ac:dyDescent="0.45">
      <c r="A91" s="598" t="s">
        <v>514</v>
      </c>
      <c r="B91" s="598" t="s">
        <v>253</v>
      </c>
      <c r="C91" s="598" t="s">
        <v>941</v>
      </c>
      <c r="D91" s="598" t="s">
        <v>896</v>
      </c>
      <c r="E91" s="599">
        <f>DGNBvægtning!I81+DGNBvægtning!I82+DGNBvægtning!I83</f>
        <v>1.3043478260869565E-2</v>
      </c>
      <c r="F91" s="600">
        <f>$F$90*G91</f>
        <v>5.6003435984673011</v>
      </c>
      <c r="G91" s="599">
        <f>E91/($E$91+SUM($E$109:$E$163))</f>
        <v>0.11200687196934601</v>
      </c>
      <c r="H91" s="600">
        <v>6</v>
      </c>
      <c r="I91" s="601" t="s">
        <v>492</v>
      </c>
      <c r="J91" s="601"/>
      <c r="K91" s="598" t="s">
        <v>972</v>
      </c>
      <c r="L91" s="598"/>
      <c r="M91" s="602"/>
      <c r="N91" s="622">
        <f>IF('Sortering af spørgsmål'!$C$12=Projektforudsætninger!$C$20,'Dialogpart 1'!$J$36,IF('Sortering af spørgsmål'!$C$12=Projektforudsætninger!$C$21,'Dialogpart 2'!$J$36,IF('Sortering af spørgsmål'!$C$12=Projektforudsætninger!$C$22,'Dialogpart 3'!$J$36,IF('Sortering af spørgsmål'!$C$12=Projektforudsætninger!$C$23,'Dialogpart 4'!$J$36,IF('Sortering af spørgsmål'!$C$12=Projektforudsætninger!$C$24,'Dialogpart 5'!$J$36,IF('Sortering af spørgsmål'!$C$12=Projektforudsætninger!$C$25,'Dialogpart 6'!$J$36,IF('Sortering af spørgsmål'!$C$12=Projektforudsætninger!$C$22,'Dialogpart 7'!$J$36,IF('Sortering af spørgsmål'!$C$12=Projektforudsætninger!$C$23,#REF!,IF('Sortering af spørgsmål'!$C$12=Projektforudsætninger!$C$24,#REF!,IF('Sortering af spørgsmål'!$C$12=Projektforudsætninger!$C$25,#REF!,0))))))))))</f>
        <v>0</v>
      </c>
      <c r="O91" s="622"/>
      <c r="P91" s="622"/>
      <c r="Q91" s="598"/>
      <c r="R91" s="599">
        <f>'Sortering af spørgsmål'!$E$12*(Arbejdsark!E91/SUM($E$91:$E$109))</f>
        <v>5.8823529411764705E-3</v>
      </c>
      <c r="S91" s="599">
        <f>R91/$R$90</f>
        <v>5.2700922266139649E-2</v>
      </c>
      <c r="T91" s="600">
        <f>$T$90*S91</f>
        <v>2.6350461133069825</v>
      </c>
      <c r="U91" s="598"/>
      <c r="V91" s="598"/>
    </row>
    <row r="92" spans="1:22" s="604" customFormat="1" ht="42.75" x14ac:dyDescent="0.45">
      <c r="A92" s="598"/>
      <c r="B92" s="598"/>
      <c r="C92" s="598"/>
      <c r="D92" s="598"/>
      <c r="E92" s="599"/>
      <c r="F92" s="603"/>
      <c r="G92" s="599"/>
      <c r="H92" s="600"/>
      <c r="I92" s="601"/>
      <c r="J92" s="601"/>
      <c r="K92" s="598" t="s">
        <v>927</v>
      </c>
      <c r="L92" s="598" t="s">
        <v>498</v>
      </c>
      <c r="M92" s="602">
        <v>1</v>
      </c>
      <c r="N92" s="602"/>
      <c r="O92" s="600">
        <f>ROUND(H91*M92,0)</f>
        <v>6</v>
      </c>
      <c r="P92" s="600">
        <f>O92-O92</f>
        <v>0</v>
      </c>
      <c r="Q92" s="598"/>
      <c r="R92" s="598"/>
      <c r="S92" s="598"/>
      <c r="T92" s="600"/>
      <c r="U92" s="600">
        <f>ROUND(T91*M92,0)</f>
        <v>3</v>
      </c>
      <c r="V92" s="598"/>
    </row>
    <row r="93" spans="1:22" s="604" customFormat="1" x14ac:dyDescent="0.45">
      <c r="A93" s="598"/>
      <c r="B93" s="598"/>
      <c r="C93" s="598"/>
      <c r="D93" s="598"/>
      <c r="E93" s="599"/>
      <c r="F93" s="603"/>
      <c r="G93" s="599"/>
      <c r="H93" s="600"/>
      <c r="I93" s="601"/>
      <c r="J93" s="601"/>
      <c r="K93" s="598"/>
      <c r="L93" s="598" t="s">
        <v>499</v>
      </c>
      <c r="M93" s="602">
        <f>4/7.5</f>
        <v>0.53333333333333333</v>
      </c>
      <c r="N93" s="602"/>
      <c r="O93" s="600">
        <f>ROUND(H91*M93,0)</f>
        <v>3</v>
      </c>
      <c r="P93" s="600">
        <f>O92-O93</f>
        <v>3</v>
      </c>
      <c r="Q93" s="598"/>
      <c r="R93" s="598"/>
      <c r="S93" s="598"/>
      <c r="T93" s="600"/>
      <c r="U93" s="600">
        <f>ROUND(T91*M93,0)</f>
        <v>1</v>
      </c>
      <c r="V93" s="598"/>
    </row>
    <row r="94" spans="1:22" s="604" customFormat="1" x14ac:dyDescent="0.45">
      <c r="A94" s="598"/>
      <c r="B94" s="598"/>
      <c r="C94" s="598"/>
      <c r="D94" s="598"/>
      <c r="E94" s="599"/>
      <c r="F94" s="603"/>
      <c r="G94" s="599"/>
      <c r="H94" s="600"/>
      <c r="I94" s="601"/>
      <c r="J94" s="601"/>
      <c r="K94" s="598"/>
      <c r="L94" s="598" t="s">
        <v>495</v>
      </c>
      <c r="M94" s="602">
        <f>1/7.5</f>
        <v>0.13333333333333333</v>
      </c>
      <c r="N94" s="602"/>
      <c r="O94" s="600">
        <f>ROUND(H91*M94,0)</f>
        <v>1</v>
      </c>
      <c r="P94" s="600">
        <f>O92-O94</f>
        <v>5</v>
      </c>
      <c r="Q94" s="598"/>
      <c r="R94" s="598"/>
      <c r="S94" s="598"/>
      <c r="T94" s="600"/>
      <c r="U94" s="600">
        <f>ROUND(T91*M94,0)</f>
        <v>0</v>
      </c>
      <c r="V94" s="598"/>
    </row>
    <row r="95" spans="1:22" s="604" customFormat="1" x14ac:dyDescent="0.45">
      <c r="A95" s="598"/>
      <c r="B95" s="598"/>
      <c r="C95" s="598"/>
      <c r="D95" s="598"/>
      <c r="E95" s="599"/>
      <c r="F95" s="603"/>
      <c r="G95" s="599"/>
      <c r="H95" s="600"/>
      <c r="I95" s="601"/>
      <c r="J95" s="601"/>
      <c r="K95" s="598"/>
      <c r="L95" s="598"/>
      <c r="M95" s="602"/>
      <c r="N95" s="602"/>
      <c r="O95" s="602"/>
      <c r="P95" s="602"/>
      <c r="Q95" s="598"/>
      <c r="R95" s="598"/>
      <c r="S95" s="598"/>
      <c r="T95" s="600"/>
      <c r="U95" s="598"/>
      <c r="V95" s="598"/>
    </row>
    <row r="96" spans="1:22" s="609" customFormat="1" ht="71.25" x14ac:dyDescent="0.45">
      <c r="A96" s="605"/>
      <c r="B96" s="605">
        <v>1</v>
      </c>
      <c r="C96" s="605" t="s">
        <v>515</v>
      </c>
      <c r="D96" s="605" t="s">
        <v>920</v>
      </c>
      <c r="E96" s="606">
        <f>0.87*DGNBvægtning!I70</f>
        <v>8.510869565217391E-2</v>
      </c>
      <c r="F96" s="610"/>
      <c r="G96" s="606"/>
      <c r="H96" s="608">
        <f t="shared" ref="H96:H108" si="0">ROUND(F96*G96,0)</f>
        <v>0</v>
      </c>
      <c r="I96" s="607"/>
      <c r="J96" s="607" t="s">
        <v>492</v>
      </c>
      <c r="K96" s="605" t="s">
        <v>659</v>
      </c>
      <c r="L96" s="605"/>
      <c r="M96" s="722"/>
      <c r="N96" s="722" t="str">
        <f>Projektforudsætninger!C38</f>
        <v>Vælg fra rullemenu</v>
      </c>
      <c r="O96" s="722"/>
      <c r="P96" s="722"/>
      <c r="Q96" s="605"/>
      <c r="R96" s="606"/>
      <c r="S96" s="606"/>
      <c r="T96" s="608"/>
      <c r="U96" s="605"/>
      <c r="V96" s="605"/>
    </row>
    <row r="97" spans="1:22" s="609" customFormat="1" x14ac:dyDescent="0.45">
      <c r="A97" s="605"/>
      <c r="B97" s="605"/>
      <c r="C97" s="605"/>
      <c r="D97" s="605"/>
      <c r="E97" s="606"/>
      <c r="F97" s="610"/>
      <c r="G97" s="606"/>
      <c r="H97" s="608">
        <f t="shared" si="0"/>
        <v>0</v>
      </c>
      <c r="I97" s="607"/>
      <c r="J97" s="607"/>
      <c r="K97" s="605"/>
      <c r="L97" s="605" t="s">
        <v>24</v>
      </c>
      <c r="M97" s="722">
        <v>1</v>
      </c>
      <c r="N97" s="722"/>
      <c r="O97" s="722"/>
      <c r="P97" s="722"/>
      <c r="Q97" s="605"/>
      <c r="R97" s="605"/>
      <c r="S97" s="605"/>
      <c r="T97" s="608"/>
      <c r="U97" s="605"/>
      <c r="V97" s="605"/>
    </row>
    <row r="98" spans="1:22" s="609" customFormat="1" x14ac:dyDescent="0.45">
      <c r="A98" s="605"/>
      <c r="B98" s="605"/>
      <c r="C98" s="605"/>
      <c r="D98" s="605"/>
      <c r="E98" s="606"/>
      <c r="F98" s="610"/>
      <c r="G98" s="606"/>
      <c r="H98" s="608">
        <f t="shared" si="0"/>
        <v>0</v>
      </c>
      <c r="I98" s="607"/>
      <c r="J98" s="607"/>
      <c r="K98" s="605"/>
      <c r="L98" s="605" t="s">
        <v>26</v>
      </c>
      <c r="M98" s="722">
        <v>0.9</v>
      </c>
      <c r="N98" s="722"/>
      <c r="O98" s="722"/>
      <c r="P98" s="722"/>
      <c r="Q98" s="605"/>
      <c r="R98" s="605"/>
      <c r="S98" s="605"/>
      <c r="T98" s="608"/>
      <c r="U98" s="605"/>
      <c r="V98" s="605"/>
    </row>
    <row r="99" spans="1:22" s="609" customFormat="1" x14ac:dyDescent="0.45">
      <c r="A99" s="605"/>
      <c r="B99" s="605"/>
      <c r="C99" s="605"/>
      <c r="D99" s="605"/>
      <c r="E99" s="606"/>
      <c r="F99" s="610"/>
      <c r="G99" s="606"/>
      <c r="H99" s="608">
        <f t="shared" si="0"/>
        <v>0</v>
      </c>
      <c r="I99" s="607"/>
      <c r="J99" s="607"/>
      <c r="K99" s="605"/>
      <c r="L99" s="605" t="s">
        <v>28</v>
      </c>
      <c r="M99" s="722">
        <v>0.8</v>
      </c>
      <c r="N99" s="722"/>
      <c r="O99" s="722"/>
      <c r="P99" s="722"/>
      <c r="Q99" s="605"/>
      <c r="R99" s="605"/>
      <c r="S99" s="605"/>
      <c r="T99" s="608"/>
      <c r="U99" s="605"/>
      <c r="V99" s="605"/>
    </row>
    <row r="100" spans="1:22" s="609" customFormat="1" x14ac:dyDescent="0.45">
      <c r="A100" s="605"/>
      <c r="B100" s="605"/>
      <c r="C100" s="605"/>
      <c r="D100" s="605"/>
      <c r="E100" s="606"/>
      <c r="F100" s="610"/>
      <c r="G100" s="606"/>
      <c r="H100" s="608">
        <f t="shared" si="0"/>
        <v>0</v>
      </c>
      <c r="I100" s="607"/>
      <c r="J100" s="607"/>
      <c r="K100" s="605"/>
      <c r="L100" s="605" t="s">
        <v>30</v>
      </c>
      <c r="M100" s="722">
        <v>0.7</v>
      </c>
      <c r="N100" s="722"/>
      <c r="O100" s="722"/>
      <c r="P100" s="722"/>
      <c r="Q100" s="605"/>
      <c r="R100" s="605"/>
      <c r="S100" s="605"/>
      <c r="T100" s="608"/>
      <c r="U100" s="605"/>
      <c r="V100" s="605"/>
    </row>
    <row r="101" spans="1:22" s="609" customFormat="1" x14ac:dyDescent="0.45">
      <c r="A101" s="605"/>
      <c r="B101" s="605"/>
      <c r="C101" s="605"/>
      <c r="D101" s="605"/>
      <c r="E101" s="606"/>
      <c r="F101" s="610"/>
      <c r="G101" s="606"/>
      <c r="H101" s="608">
        <f t="shared" si="0"/>
        <v>0</v>
      </c>
      <c r="I101" s="607"/>
      <c r="J101" s="607"/>
      <c r="K101" s="605"/>
      <c r="L101" s="605" t="s">
        <v>31</v>
      </c>
      <c r="M101" s="722">
        <v>0.6</v>
      </c>
      <c r="N101" s="722"/>
      <c r="O101" s="722"/>
      <c r="P101" s="722"/>
      <c r="Q101" s="605"/>
      <c r="R101" s="605"/>
      <c r="S101" s="605"/>
      <c r="T101" s="608"/>
      <c r="U101" s="605"/>
      <c r="V101" s="605"/>
    </row>
    <row r="102" spans="1:22" s="609" customFormat="1" x14ac:dyDescent="0.45">
      <c r="A102" s="605"/>
      <c r="B102" s="605"/>
      <c r="C102" s="605"/>
      <c r="D102" s="605"/>
      <c r="E102" s="606"/>
      <c r="F102" s="610"/>
      <c r="G102" s="606"/>
      <c r="H102" s="608">
        <f t="shared" si="0"/>
        <v>0</v>
      </c>
      <c r="I102" s="607"/>
      <c r="J102" s="607"/>
      <c r="K102" s="605"/>
      <c r="L102" s="605" t="s">
        <v>33</v>
      </c>
      <c r="M102" s="722">
        <v>0.5</v>
      </c>
      <c r="N102" s="722"/>
      <c r="O102" s="722"/>
      <c r="P102" s="722"/>
      <c r="Q102" s="605"/>
      <c r="R102" s="605"/>
      <c r="S102" s="605"/>
      <c r="T102" s="608"/>
      <c r="U102" s="605"/>
      <c r="V102" s="605"/>
    </row>
    <row r="103" spans="1:22" s="609" customFormat="1" x14ac:dyDescent="0.45">
      <c r="A103" s="605"/>
      <c r="B103" s="605"/>
      <c r="C103" s="605"/>
      <c r="D103" s="605"/>
      <c r="E103" s="606"/>
      <c r="F103" s="610"/>
      <c r="G103" s="606"/>
      <c r="H103" s="608">
        <f t="shared" si="0"/>
        <v>0</v>
      </c>
      <c r="I103" s="607"/>
      <c r="J103" s="607"/>
      <c r="K103" s="605"/>
      <c r="L103" s="605" t="s">
        <v>35</v>
      </c>
      <c r="M103" s="722">
        <v>0.4</v>
      </c>
      <c r="N103" s="722"/>
      <c r="O103" s="722"/>
      <c r="P103" s="722"/>
      <c r="Q103" s="605"/>
      <c r="R103" s="605"/>
      <c r="S103" s="605"/>
      <c r="T103" s="608"/>
      <c r="U103" s="605"/>
      <c r="V103" s="605"/>
    </row>
    <row r="104" spans="1:22" s="609" customFormat="1" x14ac:dyDescent="0.45">
      <c r="A104" s="605"/>
      <c r="B104" s="605"/>
      <c r="C104" s="605"/>
      <c r="D104" s="605"/>
      <c r="E104" s="606"/>
      <c r="F104" s="610"/>
      <c r="G104" s="606"/>
      <c r="H104" s="608">
        <f t="shared" si="0"/>
        <v>0</v>
      </c>
      <c r="I104" s="607"/>
      <c r="J104" s="607"/>
      <c r="K104" s="605"/>
      <c r="L104" s="605" t="s">
        <v>37</v>
      </c>
      <c r="M104" s="722">
        <v>0.3</v>
      </c>
      <c r="N104" s="722"/>
      <c r="O104" s="722"/>
      <c r="P104" s="722"/>
      <c r="Q104" s="605"/>
      <c r="R104" s="605"/>
      <c r="S104" s="605"/>
      <c r="T104" s="608"/>
      <c r="U104" s="605"/>
      <c r="V104" s="605"/>
    </row>
    <row r="105" spans="1:22" s="609" customFormat="1" x14ac:dyDescent="0.45">
      <c r="A105" s="605"/>
      <c r="B105" s="605"/>
      <c r="C105" s="605"/>
      <c r="D105" s="605"/>
      <c r="E105" s="606"/>
      <c r="F105" s="610"/>
      <c r="G105" s="606"/>
      <c r="H105" s="608">
        <f t="shared" si="0"/>
        <v>0</v>
      </c>
      <c r="I105" s="607"/>
      <c r="J105" s="607"/>
      <c r="K105" s="605"/>
      <c r="L105" s="605" t="s">
        <v>39</v>
      </c>
      <c r="M105" s="722">
        <v>0.2</v>
      </c>
      <c r="N105" s="722"/>
      <c r="O105" s="722"/>
      <c r="P105" s="722"/>
      <c r="Q105" s="605"/>
      <c r="R105" s="605"/>
      <c r="S105" s="605"/>
      <c r="T105" s="608"/>
      <c r="U105" s="605"/>
      <c r="V105" s="605"/>
    </row>
    <row r="106" spans="1:22" s="609" customFormat="1" x14ac:dyDescent="0.45">
      <c r="A106" s="605"/>
      <c r="B106" s="605"/>
      <c r="C106" s="605"/>
      <c r="D106" s="605"/>
      <c r="E106" s="606"/>
      <c r="F106" s="610"/>
      <c r="G106" s="606"/>
      <c r="H106" s="608">
        <f t="shared" si="0"/>
        <v>0</v>
      </c>
      <c r="I106" s="607"/>
      <c r="J106" s="607"/>
      <c r="K106" s="605"/>
      <c r="L106" s="605" t="s">
        <v>42</v>
      </c>
      <c r="M106" s="722">
        <v>0.1</v>
      </c>
      <c r="N106" s="722"/>
      <c r="O106" s="722"/>
      <c r="P106" s="722"/>
      <c r="Q106" s="605"/>
      <c r="R106" s="605"/>
      <c r="S106" s="605"/>
      <c r="T106" s="608"/>
      <c r="U106" s="605"/>
      <c r="V106" s="605"/>
    </row>
    <row r="107" spans="1:22" s="609" customFormat="1" x14ac:dyDescent="0.45">
      <c r="A107" s="605"/>
      <c r="B107" s="605"/>
      <c r="C107" s="605"/>
      <c r="D107" s="605"/>
      <c r="E107" s="606"/>
      <c r="F107" s="610"/>
      <c r="G107" s="606"/>
      <c r="H107" s="608">
        <f t="shared" si="0"/>
        <v>0</v>
      </c>
      <c r="I107" s="607"/>
      <c r="J107" s="607"/>
      <c r="K107" s="605"/>
      <c r="L107" s="605" t="s">
        <v>660</v>
      </c>
      <c r="M107" s="722">
        <v>0</v>
      </c>
      <c r="N107" s="722"/>
      <c r="O107" s="722"/>
      <c r="P107" s="722"/>
      <c r="Q107" s="605"/>
      <c r="R107" s="605"/>
      <c r="S107" s="605"/>
      <c r="T107" s="608"/>
      <c r="U107" s="605"/>
      <c r="V107" s="605"/>
    </row>
    <row r="108" spans="1:22" s="609" customFormat="1" x14ac:dyDescent="0.45">
      <c r="A108" s="605"/>
      <c r="B108" s="605"/>
      <c r="C108" s="605"/>
      <c r="D108" s="605"/>
      <c r="E108" s="606"/>
      <c r="F108" s="610"/>
      <c r="G108" s="606"/>
      <c r="H108" s="608">
        <f t="shared" si="0"/>
        <v>0</v>
      </c>
      <c r="I108" s="607"/>
      <c r="J108" s="607"/>
      <c r="K108" s="605"/>
      <c r="L108" s="605"/>
      <c r="M108" s="722"/>
      <c r="N108" s="722"/>
      <c r="O108" s="722"/>
      <c r="P108" s="722"/>
      <c r="Q108" s="605"/>
      <c r="R108" s="605"/>
      <c r="S108" s="605"/>
      <c r="T108" s="608"/>
      <c r="U108" s="605"/>
      <c r="V108" s="605"/>
    </row>
    <row r="109" spans="1:22" s="604" customFormat="1" ht="256.5" x14ac:dyDescent="0.45">
      <c r="A109" s="598"/>
      <c r="B109" s="598" t="s">
        <v>265</v>
      </c>
      <c r="C109" s="598" t="s">
        <v>516</v>
      </c>
      <c r="D109" s="598" t="s">
        <v>897</v>
      </c>
      <c r="E109" s="599">
        <f>0.13*DGNBvægtning!I70</f>
        <v>1.2717391304347826E-2</v>
      </c>
      <c r="F109" s="600">
        <f>$F$90*G109</f>
        <v>5.460335008505619</v>
      </c>
      <c r="G109" s="599">
        <f>E109/($E$91+SUM($E$109:$E$163))</f>
        <v>0.10920670017011237</v>
      </c>
      <c r="H109" s="600">
        <v>5</v>
      </c>
      <c r="I109" s="601" t="s">
        <v>492</v>
      </c>
      <c r="J109" s="601"/>
      <c r="K109" s="598" t="s">
        <v>973</v>
      </c>
      <c r="L109" s="598"/>
      <c r="M109" s="602"/>
      <c r="N109" s="602">
        <f>IF('Sortering af spørgsmål'!$C$12=Projektforudsætninger!$C$20,'Dialogpart 1'!$J$37,IF('Sortering af spørgsmål'!$C$12=Projektforudsætninger!$C$21,'Dialogpart 2'!$J$37,IF('Sortering af spørgsmål'!$C$12=Projektforudsætninger!$C$22,'Dialogpart 3'!$J$37,IF('Sortering af spørgsmål'!$C$12=Projektforudsætninger!$C$23,'Dialogpart 4'!$J$37,IF('Sortering af spørgsmål'!$C$12=Projektforudsætninger!$C$24,'Dialogpart 5'!$J$37,IF('Sortering af spørgsmål'!$C$12=Projektforudsætninger!$C$25,'Dialogpart 6'!$J$37,IF('Sortering af spørgsmål'!$C$12=Projektforudsætninger!$C$22,'Dialogpart 7'!$J$37,IF('Sortering af spørgsmål'!$C$12=Projektforudsætninger!$C$23,#REF!,IF('Sortering af spørgsmål'!$C$12=Projektforudsætninger!$C$24,#REF!,IF('Sortering af spørgsmål'!$C$12=Projektforudsætninger!$C$25,#REF!,0))))))))))</f>
        <v>0</v>
      </c>
      <c r="O109" s="602"/>
      <c r="P109" s="602"/>
      <c r="Q109" s="598"/>
      <c r="R109" s="599">
        <f>'Sortering af spørgsmål'!$E$12*(Arbejdsark!E109/SUM($E$91:$E$109))</f>
        <v>5.7352941176470598E-3</v>
      </c>
      <c r="S109" s="599">
        <f>R109/$R$90</f>
        <v>5.1383399209486168E-2</v>
      </c>
      <c r="T109" s="600">
        <f>$T$90*S109</f>
        <v>2.5691699604743086</v>
      </c>
      <c r="U109" s="598"/>
      <c r="V109" s="598"/>
    </row>
    <row r="110" spans="1:22" s="604" customFormat="1" x14ac:dyDescent="0.45">
      <c r="A110" s="598"/>
      <c r="B110" s="598"/>
      <c r="C110" s="598"/>
      <c r="D110" s="598"/>
      <c r="E110" s="599"/>
      <c r="F110" s="603"/>
      <c r="G110" s="599"/>
      <c r="H110" s="600"/>
      <c r="I110" s="601"/>
      <c r="J110" s="601"/>
      <c r="K110" s="598"/>
      <c r="L110" s="598" t="s">
        <v>498</v>
      </c>
      <c r="M110" s="602">
        <v>1</v>
      </c>
      <c r="N110" s="602"/>
      <c r="O110" s="600">
        <f>ROUND(H109*M110,0)</f>
        <v>5</v>
      </c>
      <c r="P110" s="600">
        <f>O110-O110</f>
        <v>0</v>
      </c>
      <c r="Q110" s="598"/>
      <c r="R110" s="598"/>
      <c r="S110" s="598"/>
      <c r="T110" s="600"/>
      <c r="U110" s="600">
        <f>ROUND(T109*M110,0)</f>
        <v>3</v>
      </c>
      <c r="V110" s="598"/>
    </row>
    <row r="111" spans="1:22" s="604" customFormat="1" x14ac:dyDescent="0.45">
      <c r="A111" s="598"/>
      <c r="B111" s="598"/>
      <c r="C111" s="598"/>
      <c r="D111" s="598"/>
      <c r="E111" s="599"/>
      <c r="F111" s="603"/>
      <c r="G111" s="599"/>
      <c r="H111" s="600"/>
      <c r="I111" s="601"/>
      <c r="J111" s="601"/>
      <c r="K111" s="598"/>
      <c r="L111" s="598" t="s">
        <v>499</v>
      </c>
      <c r="M111" s="602">
        <v>0.5</v>
      </c>
      <c r="N111" s="602"/>
      <c r="O111" s="600">
        <f>ROUND(H109*M111,0)</f>
        <v>3</v>
      </c>
      <c r="P111" s="600">
        <f>O110-O111</f>
        <v>2</v>
      </c>
      <c r="Q111" s="598"/>
      <c r="R111" s="598"/>
      <c r="S111" s="598"/>
      <c r="T111" s="600"/>
      <c r="U111" s="600">
        <f>ROUND(T109*M111,0)</f>
        <v>1</v>
      </c>
      <c r="V111" s="598"/>
    </row>
    <row r="112" spans="1:22" s="604" customFormat="1" x14ac:dyDescent="0.45">
      <c r="A112" s="598"/>
      <c r="B112" s="598"/>
      <c r="C112" s="598"/>
      <c r="D112" s="598"/>
      <c r="E112" s="599"/>
      <c r="F112" s="603"/>
      <c r="G112" s="599"/>
      <c r="H112" s="600"/>
      <c r="I112" s="601"/>
      <c r="J112" s="601"/>
      <c r="K112" s="598"/>
      <c r="L112" s="598" t="s">
        <v>495</v>
      </c>
      <c r="M112" s="602">
        <v>0.1</v>
      </c>
      <c r="N112" s="602"/>
      <c r="O112" s="600">
        <f>ROUND(H109*M112,0)</f>
        <v>1</v>
      </c>
      <c r="P112" s="600">
        <f>O110-O112</f>
        <v>4</v>
      </c>
      <c r="Q112" s="598"/>
      <c r="R112" s="598"/>
      <c r="S112" s="598"/>
      <c r="T112" s="600"/>
      <c r="U112" s="600">
        <f>ROUND(T109*M112,0)</f>
        <v>0</v>
      </c>
      <c r="V112" s="598"/>
    </row>
    <row r="113" spans="1:22" s="604" customFormat="1" x14ac:dyDescent="0.45">
      <c r="A113" s="598"/>
      <c r="B113" s="598"/>
      <c r="C113" s="598"/>
      <c r="D113" s="598"/>
      <c r="E113" s="599"/>
      <c r="F113" s="603"/>
      <c r="G113" s="599"/>
      <c r="H113" s="600"/>
      <c r="I113" s="601"/>
      <c r="J113" s="601"/>
      <c r="K113" s="598"/>
      <c r="L113" s="598"/>
      <c r="M113" s="602"/>
      <c r="N113" s="602"/>
      <c r="O113" s="602"/>
      <c r="P113" s="602"/>
      <c r="Q113" s="598"/>
      <c r="R113" s="598"/>
      <c r="S113" s="598"/>
      <c r="T113" s="600"/>
      <c r="U113" s="598"/>
      <c r="V113" s="598"/>
    </row>
    <row r="114" spans="1:22" s="604" customFormat="1" ht="314.25" customHeight="1" x14ac:dyDescent="0.45">
      <c r="A114" s="598" t="s">
        <v>517</v>
      </c>
      <c r="B114" s="598" t="s">
        <v>283</v>
      </c>
      <c r="C114" s="598" t="s">
        <v>518</v>
      </c>
      <c r="D114" s="598" t="s">
        <v>673</v>
      </c>
      <c r="E114" s="599">
        <f>DGNBvægtning!I73</f>
        <v>6.5217391304347823E-3</v>
      </c>
      <c r="F114" s="600">
        <f>$F$90*G114</f>
        <v>2.8001717992336506</v>
      </c>
      <c r="G114" s="599">
        <f>E114/($E$91+SUM($E$109:$E$163))</f>
        <v>5.6003435984673007E-2</v>
      </c>
      <c r="H114" s="600">
        <v>3</v>
      </c>
      <c r="I114" s="601" t="s">
        <v>492</v>
      </c>
      <c r="J114" s="601"/>
      <c r="K114" s="598" t="s">
        <v>974</v>
      </c>
      <c r="L114" s="598"/>
      <c r="M114" s="602"/>
      <c r="N114" s="602">
        <f>IF('Sortering af spørgsmål'!$C$13=Projektforudsætninger!$C$20,'Dialogpart 1'!$J$40,IF('Sortering af spørgsmål'!$C$13=Projektforudsætninger!$C$21,'Dialogpart 2'!$J$40,IF('Sortering af spørgsmål'!$C$13=Projektforudsætninger!$C$22,'Dialogpart 3'!$J$40,IF('Sortering af spørgsmål'!$C$13=Projektforudsætninger!$C$23,'Dialogpart 4'!$J$40,IF('Sortering af spørgsmål'!$C$13=Projektforudsætninger!$C$24,'Dialogpart 5'!$J$40,IF('Sortering af spørgsmål'!$C$13=Projektforudsætninger!$C$25,'Dialogpart 6'!$J$40,IF('Sortering af spørgsmål'!$C$13=Projektforudsætninger!$C$22,'Dialogpart 7'!$J$40,IF('Sortering af spørgsmål'!$C$13=Projektforudsætninger!$C$23,#REF!,IF('Sortering af spørgsmål'!$C$13=Projektforudsætninger!$C$24,#REF!,IF('Sortering af spørgsmål'!$C$13=Projektforudsætninger!$C$25,#REF!,0))))))))))</f>
        <v>0</v>
      </c>
      <c r="O114" s="602"/>
      <c r="P114" s="602"/>
      <c r="Q114" s="598"/>
      <c r="R114" s="599">
        <f>'Sortering af spørgsmål'!$E$13*(Arbejdsark!E114/SUM($E$114:$E$149))</f>
        <v>4.3514644351464443E-3</v>
      </c>
      <c r="S114" s="599">
        <f>R114/$R$90</f>
        <v>3.8985452119889089E-2</v>
      </c>
      <c r="T114" s="600">
        <f>$T$90*S114</f>
        <v>1.9492726059944545</v>
      </c>
      <c r="U114" s="598"/>
      <c r="V114" s="598"/>
    </row>
    <row r="115" spans="1:22" s="604" customFormat="1" ht="28.5" x14ac:dyDescent="0.45">
      <c r="A115" s="598"/>
      <c r="B115" s="598"/>
      <c r="C115" s="598"/>
      <c r="D115" s="598"/>
      <c r="E115" s="599"/>
      <c r="F115" s="603"/>
      <c r="G115" s="599"/>
      <c r="H115" s="600"/>
      <c r="I115" s="601"/>
      <c r="J115" s="601"/>
      <c r="K115" s="598" t="s">
        <v>512</v>
      </c>
      <c r="L115" s="598" t="s">
        <v>498</v>
      </c>
      <c r="M115" s="602">
        <v>1</v>
      </c>
      <c r="N115" s="602"/>
      <c r="O115" s="600">
        <f>ROUND(H114*M115,0)</f>
        <v>3</v>
      </c>
      <c r="P115" s="600">
        <f>O115-O115</f>
        <v>0</v>
      </c>
      <c r="Q115" s="598"/>
      <c r="R115" s="598"/>
      <c r="S115" s="598"/>
      <c r="T115" s="600"/>
      <c r="U115" s="600">
        <f>ROUND(T114*M115,0)</f>
        <v>2</v>
      </c>
      <c r="V115" s="598"/>
    </row>
    <row r="116" spans="1:22" s="604" customFormat="1" ht="28.5" x14ac:dyDescent="0.45">
      <c r="A116" s="598"/>
      <c r="B116" s="598"/>
      <c r="C116" s="598"/>
      <c r="D116" s="598"/>
      <c r="E116" s="599"/>
      <c r="F116" s="603"/>
      <c r="G116" s="599"/>
      <c r="H116" s="600"/>
      <c r="I116" s="601"/>
      <c r="J116" s="601"/>
      <c r="K116" s="598" t="s">
        <v>512</v>
      </c>
      <c r="L116" s="598" t="s">
        <v>499</v>
      </c>
      <c r="M116" s="602">
        <v>0.25</v>
      </c>
      <c r="N116" s="602"/>
      <c r="O116" s="600">
        <f>ROUND(H114*M116,0)</f>
        <v>1</v>
      </c>
      <c r="P116" s="600">
        <f>O115-O116</f>
        <v>2</v>
      </c>
      <c r="Q116" s="598"/>
      <c r="R116" s="598"/>
      <c r="S116" s="598"/>
      <c r="T116" s="600"/>
      <c r="U116" s="600">
        <f>ROUND(T114*M116,0)</f>
        <v>0</v>
      </c>
      <c r="V116" s="598"/>
    </row>
    <row r="117" spans="1:22" s="604" customFormat="1" x14ac:dyDescent="0.45">
      <c r="A117" s="598"/>
      <c r="B117" s="598"/>
      <c r="C117" s="598"/>
      <c r="D117" s="598"/>
      <c r="E117" s="599"/>
      <c r="F117" s="603"/>
      <c r="G117" s="599"/>
      <c r="H117" s="600"/>
      <c r="I117" s="601"/>
      <c r="J117" s="601"/>
      <c r="K117" s="598"/>
      <c r="L117" s="598" t="s">
        <v>495</v>
      </c>
      <c r="M117" s="602">
        <v>0</v>
      </c>
      <c r="N117" s="602"/>
      <c r="O117" s="600">
        <f>ROUND(H114*M117,0)</f>
        <v>0</v>
      </c>
      <c r="P117" s="600">
        <f>O115-O117</f>
        <v>3</v>
      </c>
      <c r="Q117" s="598"/>
      <c r="R117" s="598"/>
      <c r="S117" s="598"/>
      <c r="T117" s="600"/>
      <c r="U117" s="600">
        <f>ROUND(T114*M117,0)</f>
        <v>0</v>
      </c>
      <c r="V117" s="598"/>
    </row>
    <row r="118" spans="1:22" s="604" customFormat="1" x14ac:dyDescent="0.45">
      <c r="A118" s="598"/>
      <c r="B118" s="598"/>
      <c r="C118" s="598"/>
      <c r="D118" s="598"/>
      <c r="E118" s="599"/>
      <c r="F118" s="603"/>
      <c r="G118" s="599"/>
      <c r="H118" s="600"/>
      <c r="I118" s="601"/>
      <c r="J118" s="601"/>
      <c r="K118" s="598"/>
      <c r="L118" s="620"/>
      <c r="M118" s="602"/>
      <c r="N118" s="602"/>
      <c r="O118" s="602"/>
      <c r="P118" s="602"/>
      <c r="Q118" s="598"/>
      <c r="R118" s="598"/>
      <c r="S118" s="598"/>
      <c r="T118" s="600"/>
      <c r="U118" s="602"/>
      <c r="V118" s="598"/>
    </row>
    <row r="119" spans="1:22" s="604" customFormat="1" ht="299.25" x14ac:dyDescent="0.45">
      <c r="A119" s="598"/>
      <c r="B119" s="598" t="s">
        <v>268</v>
      </c>
      <c r="C119" s="598" t="s">
        <v>274</v>
      </c>
      <c r="D119" s="598" t="s">
        <v>674</v>
      </c>
      <c r="E119" s="599">
        <f>DGNBvægtning!I74</f>
        <v>9.7826086956521747E-3</v>
      </c>
      <c r="F119" s="600">
        <f>$F$90*G119</f>
        <v>4.2002576988504767</v>
      </c>
      <c r="G119" s="599">
        <f>E119/($E$91+SUM($E$109:$E$163))</f>
        <v>8.4005153977009528E-2</v>
      </c>
      <c r="H119" s="600">
        <v>4</v>
      </c>
      <c r="I119" s="601" t="s">
        <v>492</v>
      </c>
      <c r="J119" s="601"/>
      <c r="K119" s="598" t="s">
        <v>975</v>
      </c>
      <c r="L119" s="598"/>
      <c r="M119" s="602"/>
      <c r="N119" s="602">
        <f>IF('Sortering af spørgsmål'!$C$13=Projektforudsætninger!$C$20,'Dialogpart 1'!$J$41,IF('Sortering af spørgsmål'!$C$13=Projektforudsætninger!$C$21,'Dialogpart 2'!$J$41,IF('Sortering af spørgsmål'!$C$13=Projektforudsætninger!$C$22,'Dialogpart 3'!$J$41,IF('Sortering af spørgsmål'!$C$13=Projektforudsætninger!$C$23,'Dialogpart 4'!$J$41,IF('Sortering af spørgsmål'!$C$13=Projektforudsætninger!$C$24,'Dialogpart 5'!$J$41,IF('Sortering af spørgsmål'!$C$13=Projektforudsætninger!$C$25,'Dialogpart 6'!$J$41,IF('Sortering af spørgsmål'!$C$13=Projektforudsætninger!$C$22,'Dialogpart 7'!$J$41,IF('Sortering af spørgsmål'!$C$13=Projektforudsætninger!$C$23,#REF!,IF('Sortering af spørgsmål'!$C$13=Projektforudsætninger!$C$24,#REF!,IF('Sortering af spørgsmål'!$C$13=Projektforudsætninger!$C$25,#REF!,0))))))))))</f>
        <v>0</v>
      </c>
      <c r="O119" s="602"/>
      <c r="P119" s="602"/>
      <c r="Q119" s="598"/>
      <c r="R119" s="599">
        <f>'Sortering af spørgsmål'!$E$13*(Arbejdsark!E119/SUM($E$114:$E$149))</f>
        <v>6.5271966527196681E-3</v>
      </c>
      <c r="S119" s="599">
        <f>R119/$R$90</f>
        <v>5.8478178179833647E-2</v>
      </c>
      <c r="T119" s="600">
        <f>$T$90*S119</f>
        <v>2.9239089089916823</v>
      </c>
      <c r="U119" s="598"/>
      <c r="V119" s="598"/>
    </row>
    <row r="120" spans="1:22" s="604" customFormat="1" x14ac:dyDescent="0.45">
      <c r="A120" s="598"/>
      <c r="B120" s="598"/>
      <c r="C120" s="598"/>
      <c r="D120" s="598"/>
      <c r="E120" s="599"/>
      <c r="F120" s="603"/>
      <c r="G120" s="599"/>
      <c r="H120" s="600"/>
      <c r="I120" s="601"/>
      <c r="J120" s="601"/>
      <c r="K120" s="598"/>
      <c r="L120" s="598" t="s">
        <v>498</v>
      </c>
      <c r="M120" s="602">
        <v>1</v>
      </c>
      <c r="N120" s="602"/>
      <c r="O120" s="600">
        <f>ROUND(H119*M120,0)</f>
        <v>4</v>
      </c>
      <c r="P120" s="600">
        <f>O120-O120</f>
        <v>0</v>
      </c>
      <c r="Q120" s="598"/>
      <c r="R120" s="598"/>
      <c r="S120" s="598"/>
      <c r="T120" s="600"/>
      <c r="U120" s="600">
        <f>ROUND(T119*M120,0)</f>
        <v>3</v>
      </c>
      <c r="V120" s="598"/>
    </row>
    <row r="121" spans="1:22" s="604" customFormat="1" x14ac:dyDescent="0.45">
      <c r="A121" s="598"/>
      <c r="B121" s="598"/>
      <c r="C121" s="598"/>
      <c r="D121" s="598"/>
      <c r="E121" s="599"/>
      <c r="F121" s="603"/>
      <c r="G121" s="599"/>
      <c r="H121" s="600"/>
      <c r="I121" s="601"/>
      <c r="J121" s="601"/>
      <c r="K121" s="598"/>
      <c r="L121" s="598" t="s">
        <v>499</v>
      </c>
      <c r="M121" s="602">
        <f>7.5/15</f>
        <v>0.5</v>
      </c>
      <c r="N121" s="602"/>
      <c r="O121" s="600">
        <f>ROUND(H119*M121,0)</f>
        <v>2</v>
      </c>
      <c r="P121" s="600">
        <f>O120-O121</f>
        <v>2</v>
      </c>
      <c r="Q121" s="598"/>
      <c r="R121" s="598"/>
      <c r="S121" s="598"/>
      <c r="T121" s="600"/>
      <c r="U121" s="600">
        <f>ROUND(T119*M121,0)</f>
        <v>1</v>
      </c>
      <c r="V121" s="598"/>
    </row>
    <row r="122" spans="1:22" s="604" customFormat="1" x14ac:dyDescent="0.45">
      <c r="A122" s="598"/>
      <c r="B122" s="598"/>
      <c r="C122" s="598"/>
      <c r="D122" s="598"/>
      <c r="E122" s="599"/>
      <c r="F122" s="603"/>
      <c r="G122" s="599"/>
      <c r="H122" s="600"/>
      <c r="I122" s="601"/>
      <c r="J122" s="601"/>
      <c r="K122" s="598"/>
      <c r="L122" s="598" t="s">
        <v>495</v>
      </c>
      <c r="M122" s="602">
        <f>5/15</f>
        <v>0.33333333333333331</v>
      </c>
      <c r="N122" s="602"/>
      <c r="O122" s="600">
        <f>ROUND(H119*M122,0)</f>
        <v>1</v>
      </c>
      <c r="P122" s="600">
        <f>O120-O122</f>
        <v>3</v>
      </c>
      <c r="Q122" s="598"/>
      <c r="R122" s="598"/>
      <c r="S122" s="598"/>
      <c r="T122" s="600"/>
      <c r="U122" s="600">
        <f>ROUND(T119*M122,0)</f>
        <v>1</v>
      </c>
      <c r="V122" s="598"/>
    </row>
    <row r="123" spans="1:22" s="604" customFormat="1" x14ac:dyDescent="0.45">
      <c r="A123" s="598"/>
      <c r="B123" s="598"/>
      <c r="C123" s="598"/>
      <c r="D123" s="598"/>
      <c r="E123" s="599"/>
      <c r="F123" s="603"/>
      <c r="G123" s="599"/>
      <c r="H123" s="600"/>
      <c r="I123" s="601"/>
      <c r="J123" s="601"/>
      <c r="K123" s="598"/>
      <c r="L123" s="598"/>
      <c r="M123" s="602"/>
      <c r="N123" s="602"/>
      <c r="O123" s="602"/>
      <c r="P123" s="602"/>
      <c r="Q123" s="598"/>
      <c r="R123" s="598"/>
      <c r="S123" s="598"/>
      <c r="T123" s="600"/>
      <c r="U123" s="598"/>
      <c r="V123" s="598"/>
    </row>
    <row r="124" spans="1:22" s="604" customFormat="1" ht="285" x14ac:dyDescent="0.45">
      <c r="A124" s="598"/>
      <c r="B124" s="598" t="s">
        <v>285</v>
      </c>
      <c r="C124" s="598" t="s">
        <v>519</v>
      </c>
      <c r="D124" s="598" t="s">
        <v>898</v>
      </c>
      <c r="E124" s="599">
        <f>DGNBvægtning!I72</f>
        <v>1.3043478260869565E-2</v>
      </c>
      <c r="F124" s="600">
        <f>$F$90*G124</f>
        <v>5.6003435984673011</v>
      </c>
      <c r="G124" s="599">
        <f>E124/($E$91+SUM($E$109:$E$163))</f>
        <v>0.11200687196934601</v>
      </c>
      <c r="H124" s="600">
        <v>6</v>
      </c>
      <c r="I124" s="601" t="s">
        <v>492</v>
      </c>
      <c r="J124" s="601"/>
      <c r="K124" s="598" t="s">
        <v>976</v>
      </c>
      <c r="L124" s="598"/>
      <c r="M124" s="602"/>
      <c r="N124" s="602">
        <f>IF('Sortering af spørgsmål'!$C$13=Projektforudsætninger!$C$20,'Dialogpart 1'!$J$42,IF('Sortering af spørgsmål'!$C$13=Projektforudsætninger!$C$21,'Dialogpart 2'!$J$42,IF('Sortering af spørgsmål'!$C$13=Projektforudsætninger!$C$22,'Dialogpart 3'!$J$42,IF('Sortering af spørgsmål'!$C$13=Projektforudsætninger!$C$23,'Dialogpart 4'!$J$42,IF('Sortering af spørgsmål'!$C$13=Projektforudsætninger!$C$24,'Dialogpart 5'!$J$42,IF('Sortering af spørgsmål'!$C$13=Projektforudsætninger!$C$25,'Dialogpart 6'!$J$42,IF('Sortering af spørgsmål'!$C$13=Projektforudsætninger!$C$22,'Dialogpart 7'!$J$42,IF('Sortering af spørgsmål'!$C$13=Projektforudsætninger!$C$23,#REF!,IF('Sortering af spørgsmål'!$C$13=Projektforudsætninger!$C$24,#REF!,IF('Sortering af spørgsmål'!$C$13=Projektforudsætninger!$C$25,#REF!,0))))))))))</f>
        <v>0</v>
      </c>
      <c r="O124" s="602"/>
      <c r="P124" s="602"/>
      <c r="Q124" s="598"/>
      <c r="R124" s="599">
        <f>'Sortering af spørgsmål'!$E$13*(Arbejdsark!E124/SUM($E$114:$E$149))</f>
        <v>8.7029288702928885E-3</v>
      </c>
      <c r="S124" s="599">
        <f>R124/$R$90</f>
        <v>7.7970904239778177E-2</v>
      </c>
      <c r="T124" s="600">
        <f>$T$90*S124</f>
        <v>3.898545211988909</v>
      </c>
      <c r="U124" s="598"/>
      <c r="V124" s="598"/>
    </row>
    <row r="125" spans="1:22" s="604" customFormat="1" x14ac:dyDescent="0.45">
      <c r="A125" s="598"/>
      <c r="B125" s="598"/>
      <c r="C125" s="598"/>
      <c r="D125" s="598"/>
      <c r="E125" s="599"/>
      <c r="F125" s="603"/>
      <c r="G125" s="599"/>
      <c r="H125" s="600"/>
      <c r="I125" s="601"/>
      <c r="J125" s="601"/>
      <c r="K125" s="598"/>
      <c r="L125" s="598" t="s">
        <v>498</v>
      </c>
      <c r="M125" s="602">
        <v>1</v>
      </c>
      <c r="N125" s="602"/>
      <c r="O125" s="600">
        <f>ROUND(H124*M125,0)</f>
        <v>6</v>
      </c>
      <c r="P125" s="600">
        <f>O125-O125</f>
        <v>0</v>
      </c>
      <c r="Q125" s="598"/>
      <c r="R125" s="598"/>
      <c r="S125" s="598"/>
      <c r="T125" s="600"/>
      <c r="U125" s="600">
        <f>ROUND(T124*M125,0)</f>
        <v>4</v>
      </c>
      <c r="V125" s="598"/>
    </row>
    <row r="126" spans="1:22" s="604" customFormat="1" x14ac:dyDescent="0.45">
      <c r="A126" s="598"/>
      <c r="B126" s="598"/>
      <c r="C126" s="598"/>
      <c r="D126" s="598"/>
      <c r="E126" s="599"/>
      <c r="F126" s="603"/>
      <c r="G126" s="599"/>
      <c r="H126" s="600"/>
      <c r="I126" s="601"/>
      <c r="J126" s="601"/>
      <c r="K126" s="598"/>
      <c r="L126" s="598" t="s">
        <v>499</v>
      </c>
      <c r="M126" s="602">
        <v>0.5</v>
      </c>
      <c r="N126" s="602"/>
      <c r="O126" s="600">
        <f>ROUND(H124*M126,0)</f>
        <v>3</v>
      </c>
      <c r="P126" s="600">
        <f>O125-O126</f>
        <v>3</v>
      </c>
      <c r="Q126" s="598"/>
      <c r="R126" s="598"/>
      <c r="S126" s="598"/>
      <c r="T126" s="600"/>
      <c r="U126" s="600">
        <f>ROUND(T124*M126,0)</f>
        <v>2</v>
      </c>
      <c r="V126" s="598"/>
    </row>
    <row r="127" spans="1:22" s="604" customFormat="1" x14ac:dyDescent="0.45">
      <c r="A127" s="598"/>
      <c r="B127" s="598"/>
      <c r="C127" s="598"/>
      <c r="D127" s="598"/>
      <c r="E127" s="599"/>
      <c r="F127" s="603"/>
      <c r="G127" s="599"/>
      <c r="H127" s="600"/>
      <c r="I127" s="601"/>
      <c r="J127" s="601"/>
      <c r="K127" s="598"/>
      <c r="L127" s="598" t="s">
        <v>495</v>
      </c>
      <c r="M127" s="602">
        <v>0</v>
      </c>
      <c r="N127" s="602"/>
      <c r="O127" s="600">
        <f>ROUND(H124*M127,0)</f>
        <v>0</v>
      </c>
      <c r="P127" s="600">
        <f>O125-O127</f>
        <v>6</v>
      </c>
      <c r="Q127" s="598"/>
      <c r="R127" s="598"/>
      <c r="S127" s="598"/>
      <c r="T127" s="600"/>
      <c r="U127" s="600">
        <f>ROUND(T124*M127,0)</f>
        <v>0</v>
      </c>
      <c r="V127" s="598"/>
    </row>
    <row r="128" spans="1:22" s="604" customFormat="1" x14ac:dyDescent="0.45">
      <c r="A128" s="598"/>
      <c r="B128" s="598"/>
      <c r="C128" s="598"/>
      <c r="D128" s="598"/>
      <c r="E128" s="599"/>
      <c r="F128" s="603"/>
      <c r="G128" s="599"/>
      <c r="H128" s="600"/>
      <c r="I128" s="601"/>
      <c r="J128" s="601"/>
      <c r="K128" s="598"/>
      <c r="L128" s="598"/>
      <c r="M128" s="602"/>
      <c r="N128" s="602"/>
      <c r="O128" s="602"/>
      <c r="P128" s="602"/>
      <c r="Q128" s="598"/>
      <c r="R128" s="598"/>
      <c r="S128" s="598"/>
      <c r="T128" s="600"/>
      <c r="U128" s="598"/>
      <c r="V128" s="598"/>
    </row>
    <row r="129" spans="1:22" s="604" customFormat="1" ht="199.5" x14ac:dyDescent="0.45">
      <c r="A129" s="598"/>
      <c r="B129" s="598" t="s">
        <v>321</v>
      </c>
      <c r="C129" s="598" t="s">
        <v>520</v>
      </c>
      <c r="D129" s="598" t="s">
        <v>899</v>
      </c>
      <c r="E129" s="599">
        <f>DGNBvægtning!I75</f>
        <v>6.5217391304347823E-3</v>
      </c>
      <c r="F129" s="600">
        <f>$F$90*G129</f>
        <v>2.8001717992336506</v>
      </c>
      <c r="G129" s="599">
        <f>E129/($E$91+SUM($E$109:$E$163))</f>
        <v>5.6003435984673007E-2</v>
      </c>
      <c r="H129" s="600">
        <v>3</v>
      </c>
      <c r="I129" s="601" t="s">
        <v>492</v>
      </c>
      <c r="J129" s="601"/>
      <c r="K129" s="598" t="s">
        <v>977</v>
      </c>
      <c r="L129" s="598"/>
      <c r="M129" s="602"/>
      <c r="N129" s="602">
        <f>IF('Sortering af spørgsmål'!$C$13=Projektforudsætninger!$C$20,'Dialogpart 1'!$J$43,IF('Sortering af spørgsmål'!$C$13=Projektforudsætninger!$C$21,'Dialogpart 2'!$J$43,IF('Sortering af spørgsmål'!$C$13=Projektforudsætninger!$C$22,'Dialogpart 3'!$J$43,IF('Sortering af spørgsmål'!$C$13=Projektforudsætninger!$C$23,'Dialogpart 4'!$J$43,IF('Sortering af spørgsmål'!$C$13=Projektforudsætninger!$C$24,'Dialogpart 5'!$J$43,IF('Sortering af spørgsmål'!$C$13=Projektforudsætninger!$C$25,'Dialogpart 6'!$J$43,IF('Sortering af spørgsmål'!$C$13=Projektforudsætninger!$C$22,'Dialogpart 7'!$J$43,IF('Sortering af spørgsmål'!$C$13=Projektforudsætninger!$C$23,#REF!,IF('Sortering af spørgsmål'!$C$13=Projektforudsætninger!$C$24,#REF!,IF('Sortering af spørgsmål'!$C$13=Projektforudsætninger!$C$25,#REF!,0))))))))))</f>
        <v>0</v>
      </c>
      <c r="O129" s="602"/>
      <c r="P129" s="602"/>
      <c r="Q129" s="598"/>
      <c r="R129" s="599">
        <f>'Sortering af spørgsmål'!$E$13*(Arbejdsark!E129/SUM($E$114:$E$149))</f>
        <v>4.3514644351464443E-3</v>
      </c>
      <c r="S129" s="599">
        <f>R129/$R$90</f>
        <v>3.8985452119889089E-2</v>
      </c>
      <c r="T129" s="600">
        <f>$T$90*S129</f>
        <v>1.9492726059944545</v>
      </c>
      <c r="U129" s="598"/>
      <c r="V129" s="598"/>
    </row>
    <row r="130" spans="1:22" s="604" customFormat="1" x14ac:dyDescent="0.45">
      <c r="A130" s="598"/>
      <c r="B130" s="598"/>
      <c r="C130" s="598"/>
      <c r="D130" s="598"/>
      <c r="E130" s="599"/>
      <c r="F130" s="603"/>
      <c r="G130" s="599"/>
      <c r="H130" s="600"/>
      <c r="I130" s="601"/>
      <c r="J130" s="601"/>
      <c r="K130" s="598"/>
      <c r="L130" s="598" t="s">
        <v>498</v>
      </c>
      <c r="M130" s="602">
        <v>1</v>
      </c>
      <c r="N130" s="602"/>
      <c r="O130" s="600">
        <f>ROUND(H129*M130,0)</f>
        <v>3</v>
      </c>
      <c r="P130" s="600">
        <f>O130-O130</f>
        <v>0</v>
      </c>
      <c r="Q130" s="598"/>
      <c r="R130" s="598"/>
      <c r="S130" s="598"/>
      <c r="T130" s="600"/>
      <c r="U130" s="600">
        <f>ROUND(T129*M130,0)</f>
        <v>2</v>
      </c>
      <c r="V130" s="598"/>
    </row>
    <row r="131" spans="1:22" s="604" customFormat="1" x14ac:dyDescent="0.45">
      <c r="A131" s="598"/>
      <c r="B131" s="598"/>
      <c r="C131" s="598"/>
      <c r="D131" s="598"/>
      <c r="E131" s="599"/>
      <c r="F131" s="603"/>
      <c r="G131" s="599"/>
      <c r="H131" s="600"/>
      <c r="I131" s="601"/>
      <c r="J131" s="601"/>
      <c r="K131" s="598"/>
      <c r="L131" s="598" t="s">
        <v>499</v>
      </c>
      <c r="M131" s="602">
        <v>0.5</v>
      </c>
      <c r="N131" s="602"/>
      <c r="O131" s="600">
        <f>ROUND(H129*M131,0)</f>
        <v>2</v>
      </c>
      <c r="P131" s="600">
        <f>O130-O131</f>
        <v>1</v>
      </c>
      <c r="Q131" s="598"/>
      <c r="R131" s="598"/>
      <c r="S131" s="598"/>
      <c r="T131" s="600"/>
      <c r="U131" s="600">
        <f>ROUND(T129*M131,0)</f>
        <v>1</v>
      </c>
      <c r="V131" s="598"/>
    </row>
    <row r="132" spans="1:22" s="604" customFormat="1" x14ac:dyDescent="0.45">
      <c r="A132" s="598"/>
      <c r="B132" s="598"/>
      <c r="C132" s="598"/>
      <c r="D132" s="598"/>
      <c r="E132" s="599"/>
      <c r="F132" s="603"/>
      <c r="G132" s="599"/>
      <c r="H132" s="600"/>
      <c r="I132" s="601"/>
      <c r="J132" s="601"/>
      <c r="K132" s="598"/>
      <c r="L132" s="598" t="s">
        <v>495</v>
      </c>
      <c r="M132" s="602">
        <v>0</v>
      </c>
      <c r="N132" s="602"/>
      <c r="O132" s="600">
        <f>ROUND(H129*M132,0)</f>
        <v>0</v>
      </c>
      <c r="P132" s="600">
        <f>O130-O132</f>
        <v>3</v>
      </c>
      <c r="Q132" s="598"/>
      <c r="R132" s="598"/>
      <c r="S132" s="598"/>
      <c r="T132" s="600"/>
      <c r="U132" s="600">
        <f>ROUND(T129*M132,0)</f>
        <v>0</v>
      </c>
      <c r="V132" s="598"/>
    </row>
    <row r="133" spans="1:22" s="604" customFormat="1" x14ac:dyDescent="0.45">
      <c r="A133" s="598"/>
      <c r="B133" s="598"/>
      <c r="C133" s="598"/>
      <c r="D133" s="598"/>
      <c r="E133" s="599"/>
      <c r="F133" s="603"/>
      <c r="G133" s="599"/>
      <c r="H133" s="600"/>
      <c r="I133" s="601"/>
      <c r="J133" s="601"/>
      <c r="K133" s="598"/>
      <c r="L133" s="598"/>
      <c r="M133" s="602"/>
      <c r="N133" s="602"/>
      <c r="O133" s="602"/>
      <c r="P133" s="602"/>
      <c r="Q133" s="598"/>
      <c r="R133" s="598"/>
      <c r="S133" s="598"/>
      <c r="T133" s="600"/>
      <c r="U133" s="598"/>
      <c r="V133" s="598"/>
    </row>
    <row r="134" spans="1:22" s="604" customFormat="1" ht="288" customHeight="1" x14ac:dyDescent="0.45">
      <c r="A134" s="598"/>
      <c r="B134" s="598" t="s">
        <v>735</v>
      </c>
      <c r="C134" s="598" t="s">
        <v>521</v>
      </c>
      <c r="D134" s="598" t="s">
        <v>900</v>
      </c>
      <c r="E134" s="599">
        <f>0.75*DGNBvægtning!I76</f>
        <v>4.8913043478260865E-3</v>
      </c>
      <c r="F134" s="600">
        <f>$F$90*G134</f>
        <v>2.1001288494252379</v>
      </c>
      <c r="G134" s="599">
        <f>E134/($E$91+SUM($E$109:$E$163))</f>
        <v>4.2002576988504757E-2</v>
      </c>
      <c r="H134" s="600">
        <v>2</v>
      </c>
      <c r="I134" s="601" t="s">
        <v>492</v>
      </c>
      <c r="J134" s="601"/>
      <c r="K134" s="598" t="s">
        <v>978</v>
      </c>
      <c r="L134" s="598"/>
      <c r="M134" s="602"/>
      <c r="N134" s="602">
        <f>IF('Sortering af spørgsmål'!$C$13=Projektforudsætninger!$C$20,'Dialogpart 1'!$J$44,IF('Sortering af spørgsmål'!$C$13=Projektforudsætninger!$C$21,'Dialogpart 2'!$J$44,IF('Sortering af spørgsmål'!$C$13=Projektforudsætninger!$C$22,'Dialogpart 3'!$J$44,IF('Sortering af spørgsmål'!$C$13=Projektforudsætninger!$C$23,'Dialogpart 4'!$J$44,IF('Sortering af spørgsmål'!$C$13=Projektforudsætninger!$C$24,'Dialogpart 5'!$J$44,IF('Sortering af spørgsmål'!$C$13=Projektforudsætninger!$C$25,'Dialogpart 6'!$J$44,IF('Sortering af spørgsmål'!$C$13=Projektforudsætninger!$C$22,'Dialogpart 7'!$J$44,IF('Sortering af spørgsmål'!$C$13=Projektforudsætninger!$C$23,#REF!,IF('Sortering af spørgsmål'!$C$13=Projektforudsætninger!$C$24,#REF!,IF('Sortering af spørgsmål'!$C$13=Projektforudsætninger!$C$25,#REF!,0))))))))))</f>
        <v>0</v>
      </c>
      <c r="O134" s="602"/>
      <c r="P134" s="602"/>
      <c r="Q134" s="598"/>
      <c r="R134" s="599">
        <f>'Sortering af spørgsmål'!$E$13*(Arbejdsark!E134/SUM($E$114:$E$149))</f>
        <v>3.2635983263598332E-3</v>
      </c>
      <c r="S134" s="599">
        <f>R134/$R$90</f>
        <v>2.9239089089916816E-2</v>
      </c>
      <c r="T134" s="600">
        <f>$T$90*S134</f>
        <v>1.4619544544958407</v>
      </c>
      <c r="U134" s="598"/>
      <c r="V134" s="598"/>
    </row>
    <row r="135" spans="1:22" s="604" customFormat="1" x14ac:dyDescent="0.45">
      <c r="A135" s="598"/>
      <c r="B135" s="598"/>
      <c r="C135" s="598"/>
      <c r="D135" s="598"/>
      <c r="E135" s="599"/>
      <c r="F135" s="603"/>
      <c r="G135" s="599"/>
      <c r="H135" s="600"/>
      <c r="I135" s="601"/>
      <c r="J135" s="601"/>
      <c r="K135" s="598"/>
      <c r="L135" s="598" t="s">
        <v>498</v>
      </c>
      <c r="M135" s="602">
        <v>1</v>
      </c>
      <c r="N135" s="602"/>
      <c r="O135" s="600">
        <f>ROUND(H134*M135,0)</f>
        <v>2</v>
      </c>
      <c r="P135" s="600">
        <f>O135-O135</f>
        <v>0</v>
      </c>
      <c r="Q135" s="598"/>
      <c r="R135" s="598"/>
      <c r="S135" s="598"/>
      <c r="T135" s="600"/>
      <c r="U135" s="600">
        <f>ROUND(T134*M135,0)</f>
        <v>1</v>
      </c>
      <c r="V135" s="598"/>
    </row>
    <row r="136" spans="1:22" s="604" customFormat="1" x14ac:dyDescent="0.45">
      <c r="A136" s="598"/>
      <c r="B136" s="598"/>
      <c r="C136" s="598"/>
      <c r="D136" s="598"/>
      <c r="E136" s="599"/>
      <c r="F136" s="603"/>
      <c r="G136" s="599"/>
      <c r="H136" s="600"/>
      <c r="I136" s="601"/>
      <c r="J136" s="601"/>
      <c r="K136" s="598"/>
      <c r="L136" s="598" t="s">
        <v>499</v>
      </c>
      <c r="M136" s="602">
        <v>0.5</v>
      </c>
      <c r="N136" s="602"/>
      <c r="O136" s="600">
        <f>ROUND(H134*M136,0)</f>
        <v>1</v>
      </c>
      <c r="P136" s="600">
        <f>O135-O136</f>
        <v>1</v>
      </c>
      <c r="Q136" s="598"/>
      <c r="R136" s="598"/>
      <c r="S136" s="598"/>
      <c r="T136" s="600"/>
      <c r="U136" s="600">
        <f>ROUND(T134*M136,0)</f>
        <v>1</v>
      </c>
      <c r="V136" s="598"/>
    </row>
    <row r="137" spans="1:22" s="604" customFormat="1" x14ac:dyDescent="0.45">
      <c r="A137" s="598"/>
      <c r="B137" s="598"/>
      <c r="C137" s="598"/>
      <c r="D137" s="598"/>
      <c r="E137" s="599"/>
      <c r="F137" s="603"/>
      <c r="G137" s="599"/>
      <c r="H137" s="600"/>
      <c r="I137" s="601"/>
      <c r="J137" s="601"/>
      <c r="K137" s="598"/>
      <c r="L137" s="598" t="s">
        <v>495</v>
      </c>
      <c r="M137" s="602">
        <v>0</v>
      </c>
      <c r="N137" s="602"/>
      <c r="O137" s="600">
        <f>ROUND(H134*M137,0)</f>
        <v>0</v>
      </c>
      <c r="P137" s="600">
        <f>O135-O137</f>
        <v>2</v>
      </c>
      <c r="Q137" s="598"/>
      <c r="R137" s="598"/>
      <c r="S137" s="598"/>
      <c r="T137" s="600"/>
      <c r="U137" s="600">
        <f>ROUND(T134*M137,0)</f>
        <v>0</v>
      </c>
      <c r="V137" s="598"/>
    </row>
    <row r="138" spans="1:22" s="604" customFormat="1" x14ac:dyDescent="0.45">
      <c r="A138" s="598"/>
      <c r="B138" s="598"/>
      <c r="C138" s="598"/>
      <c r="D138" s="598"/>
      <c r="E138" s="599"/>
      <c r="F138" s="603"/>
      <c r="G138" s="599"/>
      <c r="H138" s="600"/>
      <c r="I138" s="601"/>
      <c r="J138" s="601"/>
      <c r="K138" s="598"/>
      <c r="L138" s="598"/>
      <c r="M138" s="602"/>
      <c r="N138" s="602"/>
      <c r="O138" s="602"/>
      <c r="P138" s="602"/>
      <c r="Q138" s="598"/>
      <c r="R138" s="598"/>
      <c r="S138" s="598"/>
      <c r="T138" s="600"/>
      <c r="U138" s="598"/>
      <c r="V138" s="598"/>
    </row>
    <row r="139" spans="1:22" s="604" customFormat="1" ht="299.25" x14ac:dyDescent="0.45">
      <c r="A139" s="598"/>
      <c r="B139" s="598" t="s">
        <v>323</v>
      </c>
      <c r="C139" s="598" t="s">
        <v>522</v>
      </c>
      <c r="D139" s="598" t="s">
        <v>675</v>
      </c>
      <c r="E139" s="599">
        <f>DGNBvægtning!I77+DGNBvægtning!I78+DGNBvægtning!I79+DGNBvægtning!I181+DGNBvægtning!I182+DGNBvægtning!I183</f>
        <v>2.4757525083612036E-2</v>
      </c>
      <c r="F139" s="600">
        <f>$F$90*G139</f>
        <v>10.629882945552357</v>
      </c>
      <c r="G139" s="599">
        <f>E139/($E$91+SUM($E$109:$E$163))</f>
        <v>0.21259765891104715</v>
      </c>
      <c r="H139" s="600">
        <v>10</v>
      </c>
      <c r="I139" s="601" t="s">
        <v>492</v>
      </c>
      <c r="J139" s="601"/>
      <c r="K139" s="598" t="s">
        <v>979</v>
      </c>
      <c r="L139" s="598"/>
      <c r="M139" s="602"/>
      <c r="N139" s="602">
        <f>IF('Sortering af spørgsmål'!$C$13=Projektforudsætninger!$C$20,'Dialogpart 1'!$J$45,IF('Sortering af spørgsmål'!$C$13=Projektforudsætninger!$C$21,'Dialogpart 2'!$J$45,IF('Sortering af spørgsmål'!$C$13=Projektforudsætninger!$C$22,'Dialogpart 3'!$J$45,IF('Sortering af spørgsmål'!$C$13=Projektforudsætninger!$C$23,'Dialogpart 4'!$J$45,IF('Sortering af spørgsmål'!$C$13=Projektforudsætninger!$C$24,'Dialogpart 5'!$J$45,IF('Sortering af spørgsmål'!$C$13=Projektforudsætninger!$C$25,'Dialogpart 6'!$J$45,IF('Sortering af spørgsmål'!$C$13=Projektforudsætninger!$C$22,'Dialogpart 7'!$J$45,IF('Sortering af spørgsmål'!$C$13=Projektforudsætninger!$C$23,#REF!,IF('Sortering af spørgsmål'!$C$13=Projektforudsætninger!$C$24,#REF!,IF('Sortering af spørgsmål'!$C$13=Projektforudsætninger!$C$25,#REF!,0))))))))))</f>
        <v>0</v>
      </c>
      <c r="O139" s="602"/>
      <c r="P139" s="602"/>
      <c r="Q139" s="598"/>
      <c r="R139" s="599">
        <f>'Sortering af spørgsmål'!$E$13*(Arbejdsark!E139/SUM($E$114:$E$149))</f>
        <v>1.6518828451882846E-2</v>
      </c>
      <c r="S139" s="599">
        <f>R139/$R$90</f>
        <v>0.14799477400896355</v>
      </c>
      <c r="T139" s="600">
        <f>$T$90*S139</f>
        <v>7.3997387004481769</v>
      </c>
      <c r="U139" s="598"/>
      <c r="V139" s="598"/>
    </row>
    <row r="140" spans="1:22" s="604" customFormat="1" x14ac:dyDescent="0.45">
      <c r="A140" s="598"/>
      <c r="B140" s="598"/>
      <c r="C140" s="598"/>
      <c r="D140" s="598"/>
      <c r="E140" s="599"/>
      <c r="F140" s="603"/>
      <c r="G140" s="599"/>
      <c r="H140" s="600"/>
      <c r="I140" s="601"/>
      <c r="J140" s="601"/>
      <c r="K140" s="598"/>
      <c r="L140" s="598" t="s">
        <v>498</v>
      </c>
      <c r="M140" s="602">
        <v>1</v>
      </c>
      <c r="N140" s="602"/>
      <c r="O140" s="600">
        <f>ROUND(H139*M140,0)</f>
        <v>10</v>
      </c>
      <c r="P140" s="600">
        <f>O140-O140</f>
        <v>0</v>
      </c>
      <c r="Q140" s="598"/>
      <c r="R140" s="598"/>
      <c r="S140" s="598"/>
      <c r="T140" s="600"/>
      <c r="U140" s="600">
        <f>ROUND(T139*M140,0)</f>
        <v>7</v>
      </c>
      <c r="V140" s="598"/>
    </row>
    <row r="141" spans="1:22" s="604" customFormat="1" x14ac:dyDescent="0.45">
      <c r="A141" s="598"/>
      <c r="B141" s="598"/>
      <c r="C141" s="598"/>
      <c r="D141" s="598"/>
      <c r="E141" s="599"/>
      <c r="F141" s="603"/>
      <c r="G141" s="599"/>
      <c r="H141" s="600"/>
      <c r="I141" s="601"/>
      <c r="J141" s="601"/>
      <c r="K141" s="598"/>
      <c r="L141" s="598" t="s">
        <v>499</v>
      </c>
      <c r="M141" s="602">
        <f>7/10</f>
        <v>0.7</v>
      </c>
      <c r="N141" s="602"/>
      <c r="O141" s="600">
        <f>ROUND(H139*M141,0)</f>
        <v>7</v>
      </c>
      <c r="P141" s="600">
        <f>O140-O141</f>
        <v>3</v>
      </c>
      <c r="Q141" s="598"/>
      <c r="R141" s="598"/>
      <c r="S141" s="598"/>
      <c r="T141" s="600"/>
      <c r="U141" s="600">
        <f>ROUND(T139*M141,0)</f>
        <v>5</v>
      </c>
      <c r="V141" s="598"/>
    </row>
    <row r="142" spans="1:22" s="604" customFormat="1" x14ac:dyDescent="0.45">
      <c r="A142" s="598"/>
      <c r="B142" s="598"/>
      <c r="C142" s="598"/>
      <c r="D142" s="598"/>
      <c r="E142" s="599"/>
      <c r="F142" s="603"/>
      <c r="G142" s="599"/>
      <c r="H142" s="600"/>
      <c r="I142" s="601"/>
      <c r="J142" s="601"/>
      <c r="K142" s="598"/>
      <c r="L142" s="598" t="s">
        <v>495</v>
      </c>
      <c r="M142" s="602">
        <f>1/10</f>
        <v>0.1</v>
      </c>
      <c r="N142" s="602"/>
      <c r="O142" s="600">
        <f>ROUND(H139*M142,0)</f>
        <v>1</v>
      </c>
      <c r="P142" s="600">
        <f>O140-O142</f>
        <v>9</v>
      </c>
      <c r="Q142" s="598"/>
      <c r="R142" s="598"/>
      <c r="S142" s="598"/>
      <c r="T142" s="600"/>
      <c r="U142" s="600">
        <f>ROUND(T139*M142,0)</f>
        <v>1</v>
      </c>
      <c r="V142" s="598"/>
    </row>
    <row r="143" spans="1:22" s="604" customFormat="1" x14ac:dyDescent="0.45">
      <c r="A143" s="598"/>
      <c r="B143" s="598"/>
      <c r="C143" s="598"/>
      <c r="D143" s="598"/>
      <c r="E143" s="599"/>
      <c r="F143" s="603"/>
      <c r="G143" s="599"/>
      <c r="H143" s="600"/>
      <c r="I143" s="601"/>
      <c r="J143" s="601"/>
      <c r="K143" s="598"/>
      <c r="L143" s="598"/>
      <c r="M143" s="602"/>
      <c r="N143" s="602"/>
      <c r="O143" s="602"/>
      <c r="P143" s="602"/>
      <c r="Q143" s="598"/>
      <c r="R143" s="598"/>
      <c r="S143" s="598"/>
      <c r="T143" s="600"/>
      <c r="U143" s="598"/>
      <c r="V143" s="598"/>
    </row>
    <row r="144" spans="1:22" s="604" customFormat="1" ht="213.75" x14ac:dyDescent="0.45">
      <c r="A144" s="598"/>
      <c r="B144" s="598" t="s">
        <v>325</v>
      </c>
      <c r="C144" s="598" t="s">
        <v>523</v>
      </c>
      <c r="D144" s="598" t="s">
        <v>524</v>
      </c>
      <c r="E144" s="599">
        <f>DGNBvægtning!I184+DGNBvægtning!I185+DGNBvægtning!I186+DGNBvægtning!I187+DGNBvægtning!I188</f>
        <v>7.7884615384615392E-3</v>
      </c>
      <c r="F144" s="600">
        <f>$F$90*G144</f>
        <v>3.3440513217771097</v>
      </c>
      <c r="G144" s="599">
        <f>E144/($E$91+SUM($E$109:$E$163))</f>
        <v>6.6881026435542196E-2</v>
      </c>
      <c r="H144" s="600">
        <v>3</v>
      </c>
      <c r="I144" s="601" t="s">
        <v>492</v>
      </c>
      <c r="J144" s="601"/>
      <c r="K144" s="598" t="s">
        <v>980</v>
      </c>
      <c r="L144" s="598"/>
      <c r="M144" s="602"/>
      <c r="N144" s="602">
        <f>IF('Sortering af spørgsmål'!$C$13=Projektforudsætninger!$C$20,'Dialogpart 1'!$J$46,IF('Sortering af spørgsmål'!$C$13=Projektforudsætninger!$C$21,'Dialogpart 2'!$J$46,IF('Sortering af spørgsmål'!$C$13=Projektforudsætninger!$C$22,'Dialogpart 3'!$J$46,IF('Sortering af spørgsmål'!$C$13=Projektforudsætninger!$C$23,'Dialogpart 4'!$J$46,IF('Sortering af spørgsmål'!$C$13=Projektforudsætninger!$C$24,'Dialogpart 5'!$J$46,IF('Sortering af spørgsmål'!$C$13=Projektforudsætninger!$C$25,'Dialogpart 6'!$J$46,IF('Sortering af spørgsmål'!$C$13=Projektforudsætninger!$C$22,'Dialogpart 7'!$J$46,IF('Sortering af spørgsmål'!$C$13=Projektforudsætninger!$C$23,#REF!,IF('Sortering af spørgsmål'!$C$13=Projektforudsætninger!$C$24,#REF!,IF('Sortering af spørgsmål'!$C$13=Projektforudsætninger!$C$25,#REF!,0))))))))))</f>
        <v>0</v>
      </c>
      <c r="O144" s="602"/>
      <c r="P144" s="602"/>
      <c r="Q144" s="598"/>
      <c r="R144" s="599">
        <f>'Sortering af spørgsmål'!$E$13*(Arbejdsark!E144/SUM($E$114:$E$149))</f>
        <v>5.1966527196652739E-3</v>
      </c>
      <c r="S144" s="599">
        <f>R144/$R$90</f>
        <v>4.6557626473944479E-2</v>
      </c>
      <c r="T144" s="600">
        <f>$T$90*S144</f>
        <v>2.3278813236972238</v>
      </c>
      <c r="U144" s="598"/>
      <c r="V144" s="598"/>
    </row>
    <row r="145" spans="1:22" s="604" customFormat="1" x14ac:dyDescent="0.45">
      <c r="A145" s="598"/>
      <c r="B145" s="598"/>
      <c r="C145" s="598"/>
      <c r="D145" s="598"/>
      <c r="E145" s="599"/>
      <c r="F145" s="603"/>
      <c r="G145" s="599"/>
      <c r="H145" s="600"/>
      <c r="I145" s="601"/>
      <c r="J145" s="601"/>
      <c r="K145" s="598"/>
      <c r="L145" s="598" t="s">
        <v>498</v>
      </c>
      <c r="M145" s="602">
        <v>1</v>
      </c>
      <c r="N145" s="602"/>
      <c r="O145" s="600">
        <f>ROUND(H144*M145,0)</f>
        <v>3</v>
      </c>
      <c r="P145" s="600">
        <f>O145-O145</f>
        <v>0</v>
      </c>
      <c r="Q145" s="598"/>
      <c r="R145" s="598"/>
      <c r="S145" s="598"/>
      <c r="T145" s="600"/>
      <c r="U145" s="600">
        <f>ROUND(T144*M145,0)</f>
        <v>2</v>
      </c>
      <c r="V145" s="598"/>
    </row>
    <row r="146" spans="1:22" s="604" customFormat="1" x14ac:dyDescent="0.45">
      <c r="A146" s="598"/>
      <c r="B146" s="598"/>
      <c r="C146" s="598"/>
      <c r="D146" s="598"/>
      <c r="E146" s="599"/>
      <c r="F146" s="603"/>
      <c r="G146" s="599"/>
      <c r="H146" s="600"/>
      <c r="I146" s="601"/>
      <c r="J146" s="601"/>
      <c r="K146" s="598"/>
      <c r="L146" s="598" t="s">
        <v>499</v>
      </c>
      <c r="M146" s="602">
        <v>0.5</v>
      </c>
      <c r="N146" s="602"/>
      <c r="O146" s="600">
        <f>ROUND(H144*M146,0)</f>
        <v>2</v>
      </c>
      <c r="P146" s="600">
        <f>O145-O146</f>
        <v>1</v>
      </c>
      <c r="Q146" s="598"/>
      <c r="R146" s="598"/>
      <c r="S146" s="598"/>
      <c r="T146" s="600"/>
      <c r="U146" s="600">
        <f>ROUND(T144*M146,0)</f>
        <v>1</v>
      </c>
      <c r="V146" s="598"/>
    </row>
    <row r="147" spans="1:22" s="604" customFormat="1" x14ac:dyDescent="0.45">
      <c r="A147" s="598"/>
      <c r="B147" s="598"/>
      <c r="C147" s="598"/>
      <c r="D147" s="598"/>
      <c r="E147" s="599"/>
      <c r="F147" s="603"/>
      <c r="G147" s="599"/>
      <c r="H147" s="600"/>
      <c r="I147" s="601"/>
      <c r="J147" s="601"/>
      <c r="K147" s="598"/>
      <c r="L147" s="598" t="s">
        <v>495</v>
      </c>
      <c r="M147" s="602">
        <v>0</v>
      </c>
      <c r="N147" s="602"/>
      <c r="O147" s="600">
        <f>ROUND(H144*M147,0)</f>
        <v>0</v>
      </c>
      <c r="P147" s="600">
        <f>O145-O147</f>
        <v>3</v>
      </c>
      <c r="Q147" s="598"/>
      <c r="R147" s="598"/>
      <c r="S147" s="598"/>
      <c r="T147" s="600"/>
      <c r="U147" s="600">
        <f>ROUND(T144*M147,0)</f>
        <v>0</v>
      </c>
      <c r="V147" s="598"/>
    </row>
    <row r="148" spans="1:22" s="604" customFormat="1" x14ac:dyDescent="0.45">
      <c r="A148" s="598"/>
      <c r="B148" s="598"/>
      <c r="C148" s="598"/>
      <c r="D148" s="598"/>
      <c r="E148" s="599"/>
      <c r="F148" s="603"/>
      <c r="G148" s="599"/>
      <c r="H148" s="600"/>
      <c r="I148" s="601"/>
      <c r="J148" s="601"/>
      <c r="K148" s="598"/>
      <c r="L148" s="598"/>
      <c r="M148" s="602"/>
      <c r="N148" s="602"/>
      <c r="O148" s="602"/>
      <c r="P148" s="602"/>
      <c r="Q148" s="598"/>
      <c r="R148" s="598"/>
      <c r="S148" s="598"/>
      <c r="T148" s="600"/>
      <c r="U148" s="598"/>
      <c r="V148" s="598"/>
    </row>
    <row r="149" spans="1:22" s="604" customFormat="1" ht="270.75" x14ac:dyDescent="0.45">
      <c r="A149" s="598"/>
      <c r="B149" s="598" t="s">
        <v>327</v>
      </c>
      <c r="C149" s="598" t="s">
        <v>525</v>
      </c>
      <c r="D149" s="598" t="s">
        <v>901</v>
      </c>
      <c r="E149" s="599">
        <f>0.25*DGNBvægtning!I76</f>
        <v>1.6304347826086956E-3</v>
      </c>
      <c r="F149" s="600">
        <f>$F$90*G149</f>
        <v>0.70004294980841264</v>
      </c>
      <c r="G149" s="599">
        <f>E149/($E$91+SUM($E$109:$E$163))</f>
        <v>1.4000858996168252E-2</v>
      </c>
      <c r="H149" s="600">
        <v>1</v>
      </c>
      <c r="I149" s="601" t="s">
        <v>492</v>
      </c>
      <c r="J149" s="601"/>
      <c r="K149" s="598" t="s">
        <v>981</v>
      </c>
      <c r="L149" s="598"/>
      <c r="M149" s="602"/>
      <c r="N149" s="602">
        <f>IF('Sortering af spørgsmål'!$C$13=Projektforudsætninger!$C$20,'Dialogpart 1'!$J$47,IF('Sortering af spørgsmål'!$C$13=Projektforudsætninger!$C$21,'Dialogpart 2'!$J$47,IF('Sortering af spørgsmål'!$C$13=Projektforudsætninger!$C$22,'Dialogpart 3'!$J$47,IF('Sortering af spørgsmål'!$C$13=Projektforudsætninger!$C$23,'Dialogpart 4'!$J$47,IF('Sortering af spørgsmål'!$C$13=Projektforudsætninger!$C$24,'Dialogpart 5'!$J$47,IF('Sortering af spørgsmål'!$C$13=Projektforudsætninger!$C$25,'Dialogpart 6'!$J$47,IF('Sortering af spørgsmål'!$C$13=Projektforudsætninger!$C$22,'Dialogpart 7'!$J$47,IF('Sortering af spørgsmål'!$C$13=Projektforudsætninger!$C$23,#REF!,IF('Sortering af spørgsmål'!$C$13=Projektforudsætninger!$C$24,#REF!,IF('Sortering af spørgsmål'!$C$13=Projektforudsætninger!$C$25,#REF!,0))))))))))</f>
        <v>0</v>
      </c>
      <c r="O149" s="600"/>
      <c r="P149" s="600"/>
      <c r="Q149" s="598"/>
      <c r="R149" s="599">
        <f>'Sortering af spørgsmål'!$E$13*(Arbejdsark!E149/SUM($E$114:$E$149))</f>
        <v>1.0878661087866111E-3</v>
      </c>
      <c r="S149" s="599">
        <f>R149/$R$90</f>
        <v>9.7463630299722721E-3</v>
      </c>
      <c r="T149" s="600">
        <f>$T$90*S149</f>
        <v>0.48731815149861363</v>
      </c>
      <c r="U149" s="598"/>
      <c r="V149" s="598"/>
    </row>
    <row r="150" spans="1:22" s="604" customFormat="1" x14ac:dyDescent="0.45">
      <c r="A150" s="598"/>
      <c r="B150" s="598"/>
      <c r="C150" s="598"/>
      <c r="D150" s="598"/>
      <c r="E150" s="599"/>
      <c r="F150" s="603"/>
      <c r="G150" s="599"/>
      <c r="H150" s="600"/>
      <c r="I150" s="601"/>
      <c r="J150" s="601"/>
      <c r="K150" s="598"/>
      <c r="L150" s="598" t="s">
        <v>498</v>
      </c>
      <c r="M150" s="602">
        <v>1</v>
      </c>
      <c r="N150" s="602"/>
      <c r="O150" s="600">
        <f>ROUND(H149*M150,0)</f>
        <v>1</v>
      </c>
      <c r="P150" s="600">
        <f>O150-O150</f>
        <v>0</v>
      </c>
      <c r="Q150" s="598"/>
      <c r="R150" s="598"/>
      <c r="S150" s="598"/>
      <c r="T150" s="600"/>
      <c r="U150" s="600">
        <f>ROUND(T149*M150,0)</f>
        <v>0</v>
      </c>
      <c r="V150" s="598"/>
    </row>
    <row r="151" spans="1:22" s="604" customFormat="1" x14ac:dyDescent="0.45">
      <c r="A151" s="598"/>
      <c r="B151" s="598"/>
      <c r="C151" s="598"/>
      <c r="D151" s="598"/>
      <c r="E151" s="599"/>
      <c r="F151" s="603"/>
      <c r="G151" s="599"/>
      <c r="H151" s="600"/>
      <c r="I151" s="601"/>
      <c r="J151" s="601"/>
      <c r="K151" s="598"/>
      <c r="L151" s="598" t="s">
        <v>499</v>
      </c>
      <c r="M151" s="602">
        <v>0.8</v>
      </c>
      <c r="N151" s="602"/>
      <c r="O151" s="600">
        <f>ROUND(H149*M151,0)</f>
        <v>1</v>
      </c>
      <c r="P151" s="600">
        <f>O150-O151</f>
        <v>0</v>
      </c>
      <c r="Q151" s="598"/>
      <c r="R151" s="598"/>
      <c r="S151" s="598"/>
      <c r="T151" s="600"/>
      <c r="U151" s="600">
        <f>ROUND(T149*M151,0)</f>
        <v>0</v>
      </c>
      <c r="V151" s="598"/>
    </row>
    <row r="152" spans="1:22" s="604" customFormat="1" x14ac:dyDescent="0.45">
      <c r="A152" s="598"/>
      <c r="B152" s="598"/>
      <c r="C152" s="598"/>
      <c r="D152" s="598"/>
      <c r="E152" s="599"/>
      <c r="F152" s="603"/>
      <c r="G152" s="599"/>
      <c r="H152" s="600"/>
      <c r="I152" s="601"/>
      <c r="J152" s="601"/>
      <c r="K152" s="598"/>
      <c r="L152" s="598" t="s">
        <v>495</v>
      </c>
      <c r="M152" s="602">
        <v>0</v>
      </c>
      <c r="N152" s="602"/>
      <c r="O152" s="600">
        <f>ROUND(H149*M152,0)</f>
        <v>0</v>
      </c>
      <c r="P152" s="600">
        <f>O150-O152</f>
        <v>1</v>
      </c>
      <c r="Q152" s="598"/>
      <c r="R152" s="598"/>
      <c r="S152" s="598"/>
      <c r="T152" s="600"/>
      <c r="U152" s="600">
        <f>ROUND(T149*M152,0)</f>
        <v>0</v>
      </c>
      <c r="V152" s="598"/>
    </row>
    <row r="153" spans="1:22" s="604" customFormat="1" x14ac:dyDescent="0.45">
      <c r="A153" s="598"/>
      <c r="B153" s="598"/>
      <c r="C153" s="598"/>
      <c r="D153" s="598"/>
      <c r="E153" s="599"/>
      <c r="F153" s="603"/>
      <c r="G153" s="599"/>
      <c r="H153" s="600"/>
      <c r="I153" s="601"/>
      <c r="J153" s="601"/>
      <c r="K153" s="598"/>
      <c r="L153" s="598"/>
      <c r="M153" s="602"/>
      <c r="N153" s="602"/>
      <c r="O153" s="602"/>
      <c r="P153" s="602"/>
      <c r="Q153" s="598"/>
      <c r="R153" s="598"/>
      <c r="S153" s="598"/>
      <c r="T153" s="600"/>
      <c r="U153" s="598"/>
      <c r="V153" s="598"/>
    </row>
    <row r="154" spans="1:22" s="604" customFormat="1" ht="228" x14ac:dyDescent="0.45">
      <c r="A154" s="598" t="s">
        <v>280</v>
      </c>
      <c r="B154" s="598" t="s">
        <v>392</v>
      </c>
      <c r="C154" s="598" t="s">
        <v>526</v>
      </c>
      <c r="D154" s="598" t="s">
        <v>873</v>
      </c>
      <c r="E154" s="599">
        <f>DGNBvægtning!I114+DGNBvægtning!I115+DGNBvægtning!I159</f>
        <v>2.7108433734939763E-3</v>
      </c>
      <c r="F154" s="600">
        <f>$F$90*G154</f>
        <v>1.1639268322115779</v>
      </c>
      <c r="G154" s="599">
        <f>E154/($E$91+SUM($E$109:$E$163))</f>
        <v>2.3278536644231556E-2</v>
      </c>
      <c r="H154" s="600">
        <v>1</v>
      </c>
      <c r="I154" s="601" t="s">
        <v>492</v>
      </c>
      <c r="J154" s="601"/>
      <c r="K154" s="598" t="s">
        <v>982</v>
      </c>
      <c r="L154" s="598"/>
      <c r="M154" s="602"/>
      <c r="N154" s="602">
        <f>IF('Sortering af spørgsmål'!$C$14=Projektforudsætninger!$C$20,'Dialogpart 1'!$J$50,IF('Sortering af spørgsmål'!$C$14=Projektforudsætninger!$C$21,'Dialogpart 2'!$J$50,IF('Sortering af spørgsmål'!$C$14=Projektforudsætninger!$C$22,'Dialogpart 3'!$J$50,IF('Sortering af spørgsmål'!$C$14=Projektforudsætninger!$C$23,'Dialogpart 4'!$J$50,IF('Sortering af spørgsmål'!$C$14=Projektforudsætninger!$C$24,'Dialogpart 5'!$J$50,IF('Sortering af spørgsmål'!$C$14=Projektforudsætninger!$C$25,'Dialogpart 6'!$J$50,IF('Sortering af spørgsmål'!$C$14=Projektforudsætninger!$C$22,'Dialogpart 7'!$J$50,IF('Sortering af spørgsmål'!$C$14=Projektforudsætninger!$C$23,#REF!,IF('Sortering af spørgsmål'!$C$14=Projektforudsætninger!$C$24,#REF!,IF('Sortering af spørgsmål'!$C$14=Projektforudsætninger!$C$25,#REF!,0))))))))))</f>
        <v>0</v>
      </c>
      <c r="O154" s="602"/>
      <c r="P154" s="602"/>
      <c r="Q154" s="598"/>
      <c r="R154" s="599">
        <f>'Sortering af spørgsmål'!$E$14*(Arbejdsark!E154/SUM($E$154:$E$163))</f>
        <v>8.6034912718204494E-3</v>
      </c>
      <c r="S154" s="599">
        <f>R154/$R$90</f>
        <v>7.7080027204715476E-2</v>
      </c>
      <c r="T154" s="600">
        <f>$T$90*S154</f>
        <v>3.8540013602357739</v>
      </c>
      <c r="U154" s="598"/>
      <c r="V154" s="598"/>
    </row>
    <row r="155" spans="1:22" s="604" customFormat="1" x14ac:dyDescent="0.45">
      <c r="A155" s="598"/>
      <c r="B155" s="598"/>
      <c r="C155" s="598"/>
      <c r="D155" s="598"/>
      <c r="E155" s="599"/>
      <c r="F155" s="603"/>
      <c r="G155" s="599"/>
      <c r="H155" s="600"/>
      <c r="I155" s="601"/>
      <c r="J155" s="601"/>
      <c r="K155" s="598"/>
      <c r="L155" s="598" t="s">
        <v>498</v>
      </c>
      <c r="M155" s="602">
        <v>1</v>
      </c>
      <c r="N155" s="602"/>
      <c r="O155" s="600">
        <f>ROUND(H154*M155,0)</f>
        <v>1</v>
      </c>
      <c r="P155" s="600">
        <f>O155-O155</f>
        <v>0</v>
      </c>
      <c r="Q155" s="598"/>
      <c r="R155" s="598"/>
      <c r="S155" s="598"/>
      <c r="T155" s="600"/>
      <c r="U155" s="600">
        <f>ROUND(T154*M155,0)</f>
        <v>4</v>
      </c>
      <c r="V155" s="598"/>
    </row>
    <row r="156" spans="1:22" s="604" customFormat="1" x14ac:dyDescent="0.45">
      <c r="A156" s="598"/>
      <c r="B156" s="598"/>
      <c r="C156" s="598"/>
      <c r="D156" s="598"/>
      <c r="E156" s="599"/>
      <c r="F156" s="603"/>
      <c r="G156" s="599"/>
      <c r="H156" s="600"/>
      <c r="I156" s="601"/>
      <c r="J156" s="601"/>
      <c r="K156" s="598"/>
      <c r="L156" s="598" t="s">
        <v>499</v>
      </c>
      <c r="M156" s="602">
        <v>0.5</v>
      </c>
      <c r="N156" s="602"/>
      <c r="O156" s="600">
        <f>ROUND(H154*M156,0)</f>
        <v>1</v>
      </c>
      <c r="P156" s="600">
        <f>O155-O156</f>
        <v>0</v>
      </c>
      <c r="Q156" s="598"/>
      <c r="R156" s="598"/>
      <c r="S156" s="598"/>
      <c r="T156" s="600"/>
      <c r="U156" s="600">
        <f>ROUND(T154*M156,0)</f>
        <v>2</v>
      </c>
      <c r="V156" s="598"/>
    </row>
    <row r="157" spans="1:22" s="604" customFormat="1" x14ac:dyDescent="0.45">
      <c r="A157" s="598"/>
      <c r="B157" s="598"/>
      <c r="C157" s="598"/>
      <c r="D157" s="598"/>
      <c r="E157" s="599"/>
      <c r="F157" s="603"/>
      <c r="G157" s="599"/>
      <c r="H157" s="600"/>
      <c r="I157" s="601"/>
      <c r="J157" s="601"/>
      <c r="K157" s="598"/>
      <c r="L157" s="598" t="s">
        <v>495</v>
      </c>
      <c r="M157" s="602">
        <v>0</v>
      </c>
      <c r="N157" s="602"/>
      <c r="O157" s="600">
        <f>ROUND(H154*M157,0)</f>
        <v>0</v>
      </c>
      <c r="P157" s="600">
        <f>O155-O157</f>
        <v>1</v>
      </c>
      <c r="Q157" s="598"/>
      <c r="R157" s="598"/>
      <c r="S157" s="598"/>
      <c r="T157" s="600"/>
      <c r="U157" s="600">
        <f>ROUND(T154*M157,0)</f>
        <v>0</v>
      </c>
      <c r="V157" s="598"/>
    </row>
    <row r="158" spans="1:22" s="604" customFormat="1" x14ac:dyDescent="0.45">
      <c r="A158" s="598"/>
      <c r="B158" s="598"/>
      <c r="C158" s="598"/>
      <c r="D158" s="598"/>
      <c r="E158" s="599"/>
      <c r="F158" s="603"/>
      <c r="G158" s="599"/>
      <c r="H158" s="600"/>
      <c r="I158" s="601"/>
      <c r="J158" s="601"/>
      <c r="K158" s="598"/>
      <c r="L158" s="598"/>
      <c r="M158" s="602"/>
      <c r="N158" s="602"/>
      <c r="O158" s="602"/>
      <c r="P158" s="602"/>
      <c r="Q158" s="598"/>
      <c r="R158" s="598"/>
      <c r="S158" s="598"/>
      <c r="T158" s="600"/>
      <c r="U158" s="598"/>
      <c r="V158" s="598"/>
    </row>
    <row r="159" spans="1:22" s="604" customFormat="1" ht="270.75" x14ac:dyDescent="0.45">
      <c r="A159" s="598"/>
      <c r="B159" s="598" t="s">
        <v>394</v>
      </c>
      <c r="C159" s="598" t="s">
        <v>527</v>
      </c>
      <c r="D159" s="598" t="s">
        <v>874</v>
      </c>
      <c r="E159" s="599">
        <f>DGNBvægtning!I84</f>
        <v>1.3043478260869566E-2</v>
      </c>
      <c r="F159" s="600">
        <f>$F$90*G159</f>
        <v>5.600343598467302</v>
      </c>
      <c r="G159" s="599">
        <f>E159/($E$91+SUM($E$109:$E$163))</f>
        <v>0.11200687196934604</v>
      </c>
      <c r="H159" s="600">
        <v>6</v>
      </c>
      <c r="I159" s="601" t="s">
        <v>492</v>
      </c>
      <c r="J159" s="601"/>
      <c r="K159" s="598" t="s">
        <v>983</v>
      </c>
      <c r="L159" s="746"/>
      <c r="M159" s="602"/>
      <c r="N159" s="602">
        <f>IF('Sortering af spørgsmål'!$C$14=Projektforudsætninger!$C$20,'Dialogpart 1'!$J$51,IF('Sortering af spørgsmål'!$C$14=Projektforudsætninger!$C$21,'Dialogpart 2'!$J$51,IF('Sortering af spørgsmål'!$C$14=Projektforudsætninger!$C$22,'Dialogpart 3'!$J$51,IF('Sortering af spørgsmål'!$C$14=Projektforudsætninger!$C$23,'Dialogpart 4'!$J$51,IF('Sortering af spørgsmål'!$C$14=Projektforudsætninger!$C$24,'Dialogpart 5'!$J$51,IF('Sortering af spørgsmål'!$C$14=Projektforudsætninger!$C$25,'Dialogpart 6'!$J$51,IF('Sortering af spørgsmål'!$C$14=Projektforudsætninger!$C$22,'Dialogpart 7'!$J$51,IF('Sortering af spørgsmål'!$C$14=Projektforudsætninger!$C$23,#REF!,IF('Sortering af spørgsmål'!$C$14=Projektforudsætninger!$C$24,#REF!,IF('Sortering af spørgsmål'!$C$14=Projektforudsætninger!$C$25,#REF!,0))))))))))</f>
        <v>0</v>
      </c>
      <c r="O159" s="602"/>
      <c r="P159" s="602"/>
      <c r="Q159" s="598"/>
      <c r="R159" s="599">
        <f>'Sortering af spørgsmål'!$E$14*(Arbejdsark!E159/SUM($E$154:$E$163))</f>
        <v>4.139650872817955E-2</v>
      </c>
      <c r="S159" s="599">
        <f>R159/$R$90</f>
        <v>0.37087781205747156</v>
      </c>
      <c r="T159" s="600">
        <f>$T$90*S159</f>
        <v>18.543890602873578</v>
      </c>
      <c r="U159" s="598"/>
      <c r="V159" s="598"/>
    </row>
    <row r="160" spans="1:22" s="604" customFormat="1" ht="29.25" customHeight="1" x14ac:dyDescent="0.45">
      <c r="A160" s="598"/>
      <c r="B160" s="598"/>
      <c r="C160" s="598"/>
      <c r="D160" s="598"/>
      <c r="E160" s="599"/>
      <c r="F160" s="603"/>
      <c r="G160" s="599"/>
      <c r="H160" s="600"/>
      <c r="I160" s="601"/>
      <c r="J160" s="601"/>
      <c r="K160" s="598"/>
      <c r="L160" s="598" t="s">
        <v>498</v>
      </c>
      <c r="M160" s="602">
        <v>1</v>
      </c>
      <c r="N160" s="603"/>
      <c r="O160" s="600">
        <f>ROUND(H159*M160,0)</f>
        <v>6</v>
      </c>
      <c r="P160" s="600">
        <f>O160-O160</f>
        <v>0</v>
      </c>
      <c r="Q160" s="598"/>
      <c r="R160" s="598"/>
      <c r="S160" s="598"/>
      <c r="T160" s="600"/>
      <c r="U160" s="600">
        <f>ROUND(T159*M160,0)</f>
        <v>19</v>
      </c>
      <c r="V160" s="598"/>
    </row>
    <row r="161" spans="1:22" s="604" customFormat="1" ht="27.75" customHeight="1" x14ac:dyDescent="0.45">
      <c r="A161" s="598"/>
      <c r="B161" s="598"/>
      <c r="C161" s="598"/>
      <c r="D161" s="598"/>
      <c r="E161" s="599"/>
      <c r="F161" s="603"/>
      <c r="G161" s="599"/>
      <c r="H161" s="600"/>
      <c r="I161" s="601"/>
      <c r="J161" s="601"/>
      <c r="K161" s="598"/>
      <c r="L161" s="598" t="s">
        <v>499</v>
      </c>
      <c r="M161" s="602">
        <v>0.5</v>
      </c>
      <c r="N161" s="603"/>
      <c r="O161" s="600">
        <f>ROUND(H159*M161,0)</f>
        <v>3</v>
      </c>
      <c r="P161" s="600">
        <f>O160-O161</f>
        <v>3</v>
      </c>
      <c r="Q161" s="598"/>
      <c r="R161" s="598"/>
      <c r="S161" s="598"/>
      <c r="T161" s="600"/>
      <c r="U161" s="600">
        <f>ROUND(T159*M161,0)</f>
        <v>9</v>
      </c>
      <c r="V161" s="598"/>
    </row>
    <row r="162" spans="1:22" s="604" customFormat="1" x14ac:dyDescent="0.45">
      <c r="A162" s="598"/>
      <c r="B162" s="598"/>
      <c r="C162" s="598"/>
      <c r="D162" s="598"/>
      <c r="E162" s="599"/>
      <c r="F162" s="603"/>
      <c r="G162" s="599"/>
      <c r="H162" s="600"/>
      <c r="I162" s="601"/>
      <c r="J162" s="601"/>
      <c r="K162" s="598"/>
      <c r="L162" s="598" t="s">
        <v>495</v>
      </c>
      <c r="M162" s="602">
        <v>0</v>
      </c>
      <c r="N162" s="603"/>
      <c r="O162" s="600">
        <f>ROUND(H159*M162,0)</f>
        <v>0</v>
      </c>
      <c r="P162" s="600">
        <f>O160-O162</f>
        <v>6</v>
      </c>
      <c r="Q162" s="598"/>
      <c r="R162" s="598"/>
      <c r="S162" s="598"/>
      <c r="T162" s="600"/>
      <c r="U162" s="600">
        <f>ROUND(T159*M162,0)</f>
        <v>0</v>
      </c>
      <c r="V162" s="598"/>
    </row>
    <row r="163" spans="1:22" s="604" customFormat="1" x14ac:dyDescent="0.45">
      <c r="A163" s="598"/>
      <c r="B163" s="598"/>
      <c r="C163" s="598"/>
      <c r="D163" s="598"/>
      <c r="E163" s="599"/>
      <c r="F163" s="603"/>
      <c r="G163" s="599"/>
      <c r="H163" s="600"/>
      <c r="I163" s="601"/>
      <c r="J163" s="601"/>
      <c r="K163" s="598"/>
      <c r="L163" s="598"/>
      <c r="M163" s="602"/>
      <c r="N163" s="602"/>
      <c r="O163" s="602"/>
      <c r="P163" s="602"/>
      <c r="Q163" s="598"/>
      <c r="R163" s="598"/>
      <c r="S163" s="598"/>
      <c r="T163" s="600"/>
      <c r="U163" s="598"/>
      <c r="V163" s="598"/>
    </row>
    <row r="164" spans="1:22" s="611" customFormat="1" x14ac:dyDescent="0.45">
      <c r="A164" s="612"/>
      <c r="B164" s="612"/>
      <c r="C164" s="612"/>
      <c r="D164" s="612"/>
      <c r="E164" s="613"/>
      <c r="F164" s="614"/>
      <c r="G164" s="613"/>
      <c r="H164" s="621"/>
      <c r="I164" s="615"/>
      <c r="J164" s="615"/>
      <c r="K164" s="612"/>
      <c r="L164" s="612"/>
      <c r="M164" s="719"/>
      <c r="N164" s="719"/>
      <c r="O164" s="720"/>
      <c r="P164" s="721"/>
      <c r="Q164" s="616"/>
      <c r="R164" s="612"/>
      <c r="S164" s="612"/>
      <c r="T164" s="618"/>
      <c r="U164" s="612"/>
      <c r="V164" s="619"/>
    </row>
    <row r="165" spans="1:22" s="611" customFormat="1" x14ac:dyDescent="0.45">
      <c r="A165" s="612" t="s">
        <v>528</v>
      </c>
      <c r="B165" s="612"/>
      <c r="C165" s="612"/>
      <c r="D165" s="612"/>
      <c r="E165" s="613"/>
      <c r="F165" s="614"/>
      <c r="G165" s="613"/>
      <c r="H165" s="621"/>
      <c r="I165" s="615"/>
      <c r="J165" s="615"/>
      <c r="K165" s="612"/>
      <c r="L165" s="612"/>
      <c r="M165" s="719"/>
      <c r="N165" s="719"/>
      <c r="O165" s="720"/>
      <c r="P165" s="721"/>
      <c r="Q165" s="616"/>
      <c r="R165" s="612"/>
      <c r="S165" s="612"/>
      <c r="T165" s="618"/>
      <c r="U165" s="612"/>
      <c r="V165" s="619"/>
    </row>
    <row r="166" spans="1:22" s="611" customFormat="1" x14ac:dyDescent="0.45">
      <c r="B166" s="612"/>
      <c r="C166" s="612"/>
      <c r="D166" s="612"/>
      <c r="E166" s="613">
        <f>SUM(E167:E375)-E279-E285</f>
        <v>0.23583642261353105</v>
      </c>
      <c r="F166" s="614">
        <v>50</v>
      </c>
      <c r="G166" s="613"/>
      <c r="H166" s="614">
        <f>SUM(H167:H375)</f>
        <v>50</v>
      </c>
      <c r="I166" s="615"/>
      <c r="J166" s="615"/>
      <c r="K166" s="612"/>
      <c r="L166" s="612"/>
      <c r="M166" s="719"/>
      <c r="N166" s="719"/>
      <c r="O166" s="720"/>
      <c r="P166" s="721"/>
      <c r="Q166" s="616"/>
      <c r="R166" s="617">
        <f>SUM(R167:R375)</f>
        <v>0.40000000000000013</v>
      </c>
      <c r="S166" s="612"/>
      <c r="T166" s="618">
        <v>50</v>
      </c>
      <c r="U166" s="612"/>
      <c r="V166" s="619"/>
    </row>
    <row r="167" spans="1:22" s="604" customFormat="1" ht="285" x14ac:dyDescent="0.45">
      <c r="A167" s="598" t="s">
        <v>529</v>
      </c>
      <c r="B167" s="598" t="s">
        <v>253</v>
      </c>
      <c r="C167" s="598" t="s">
        <v>530</v>
      </c>
      <c r="D167" s="598" t="s">
        <v>875</v>
      </c>
      <c r="E167" s="599">
        <f>DGNBvægtning!I92+DGNBvægtning!I95</f>
        <v>2.710843373493976E-2</v>
      </c>
      <c r="F167" s="600">
        <f>$F$166*G167</f>
        <v>5.7472958236317009</v>
      </c>
      <c r="G167" s="599">
        <f>E167/$E$166</f>
        <v>0.11494591647263402</v>
      </c>
      <c r="H167" s="600">
        <v>4</v>
      </c>
      <c r="I167" s="601" t="s">
        <v>492</v>
      </c>
      <c r="J167" s="601"/>
      <c r="K167" s="598" t="s">
        <v>984</v>
      </c>
      <c r="L167" s="598"/>
      <c r="M167" s="602"/>
      <c r="N167" s="602">
        <f>IF('Sortering af spørgsmål'!$C$15=Projektforudsætninger!$C$20,'Dialogpart 1'!$J$56,IF('Sortering af spørgsmål'!$C$15=Projektforudsætninger!$C$21,'Dialogpart 2'!$J$56,IF('Sortering af spørgsmål'!$C$15=Projektforudsætninger!$C$22,'Dialogpart 3'!$J$56,IF('Sortering af spørgsmål'!$C$15=Projektforudsætninger!$C$23,'Dialogpart 4'!$J$56,IF('Sortering af spørgsmål'!$C$15=Projektforudsætninger!$C$24,'Dialogpart 5'!$J$56,IF('Sortering af spørgsmål'!$C$15=Projektforudsætninger!$C$25,'Dialogpart 6'!$J$56,IF('Sortering af spørgsmål'!$C$15=Projektforudsætninger!$C$22,'Dialogpart 7'!$J$56,IF('Sortering af spørgsmål'!$C$15=Projektforudsætninger!$C$23,#REF!,IF('Sortering af spørgsmål'!$C$15=Projektforudsætninger!$C$24,#REF!,IF('Sortering af spørgsmål'!$C$15=Projektforudsætninger!$C$25,#REF!,0))))))))))</f>
        <v>0</v>
      </c>
      <c r="O167" s="602"/>
      <c r="P167" s="602"/>
      <c r="Q167" s="598"/>
      <c r="R167" s="599">
        <f>'Sortering af spørgsmål'!$E$15*(Arbejdsark!E167/SUM($E$167:$E$212))</f>
        <v>1.0114107883817428E-2</v>
      </c>
      <c r="S167" s="599">
        <f>R167/$R$166</f>
        <v>2.5285269709543562E-2</v>
      </c>
      <c r="T167" s="600">
        <f>$T$166*S167</f>
        <v>1.2642634854771782</v>
      </c>
      <c r="U167" s="598"/>
      <c r="V167" s="598"/>
    </row>
    <row r="168" spans="1:22" s="604" customFormat="1" x14ac:dyDescent="0.45">
      <c r="A168" s="598"/>
      <c r="B168" s="598"/>
      <c r="C168" s="598"/>
      <c r="D168" s="598"/>
      <c r="E168" s="599"/>
      <c r="F168" s="603"/>
      <c r="G168" s="599"/>
      <c r="H168" s="600"/>
      <c r="I168" s="601"/>
      <c r="J168" s="601"/>
      <c r="K168" s="598"/>
      <c r="L168" s="598" t="s">
        <v>498</v>
      </c>
      <c r="M168" s="602">
        <v>1</v>
      </c>
      <c r="N168" s="602"/>
      <c r="O168" s="600">
        <f>ROUND(H167*M168,0)</f>
        <v>4</v>
      </c>
      <c r="P168" s="600">
        <f>O168-O168</f>
        <v>0</v>
      </c>
      <c r="Q168" s="598"/>
      <c r="R168" s="598"/>
      <c r="S168" s="598"/>
      <c r="T168" s="600"/>
      <c r="U168" s="600">
        <f>ROUND(T167*M168,0)</f>
        <v>1</v>
      </c>
      <c r="V168" s="598"/>
    </row>
    <row r="169" spans="1:22" s="604" customFormat="1" x14ac:dyDescent="0.45">
      <c r="A169" s="598"/>
      <c r="B169" s="598"/>
      <c r="C169" s="598"/>
      <c r="D169" s="598"/>
      <c r="E169" s="599"/>
      <c r="F169" s="603"/>
      <c r="G169" s="599"/>
      <c r="H169" s="600"/>
      <c r="I169" s="601"/>
      <c r="J169" s="601"/>
      <c r="K169" s="598"/>
      <c r="L169" s="598" t="s">
        <v>499</v>
      </c>
      <c r="M169" s="602">
        <f>20/30</f>
        <v>0.66666666666666663</v>
      </c>
      <c r="N169" s="602"/>
      <c r="O169" s="600">
        <f>ROUND(H167*M169,0)</f>
        <v>3</v>
      </c>
      <c r="P169" s="600">
        <f>O168-O169</f>
        <v>1</v>
      </c>
      <c r="Q169" s="598"/>
      <c r="R169" s="598"/>
      <c r="S169" s="598"/>
      <c r="T169" s="600"/>
      <c r="U169" s="600">
        <f>ROUND(T167*M169,0)</f>
        <v>1</v>
      </c>
      <c r="V169" s="598"/>
    </row>
    <row r="170" spans="1:22" s="604" customFormat="1" x14ac:dyDescent="0.45">
      <c r="A170" s="598"/>
      <c r="B170" s="598"/>
      <c r="C170" s="598"/>
      <c r="D170" s="598"/>
      <c r="E170" s="599"/>
      <c r="F170" s="603"/>
      <c r="G170" s="599"/>
      <c r="H170" s="600"/>
      <c r="I170" s="601"/>
      <c r="J170" s="601"/>
      <c r="K170" s="598"/>
      <c r="L170" s="598" t="s">
        <v>655</v>
      </c>
      <c r="M170" s="602">
        <f>10/30</f>
        <v>0.33333333333333331</v>
      </c>
      <c r="N170" s="602"/>
      <c r="O170" s="600">
        <f>ROUND(H167*M170,0)</f>
        <v>1</v>
      </c>
      <c r="P170" s="600">
        <f>O168-O170</f>
        <v>3</v>
      </c>
      <c r="Q170" s="598"/>
      <c r="R170" s="598"/>
      <c r="S170" s="598"/>
      <c r="T170" s="600"/>
      <c r="U170" s="600">
        <f>ROUND(T167*M170,0)</f>
        <v>0</v>
      </c>
      <c r="V170" s="598"/>
    </row>
    <row r="171" spans="1:22" s="604" customFormat="1" x14ac:dyDescent="0.45">
      <c r="A171" s="598"/>
      <c r="B171" s="598"/>
      <c r="C171" s="598"/>
      <c r="D171" s="598"/>
      <c r="E171" s="599"/>
      <c r="F171" s="603"/>
      <c r="G171" s="599"/>
      <c r="H171" s="600"/>
      <c r="I171" s="601"/>
      <c r="J171" s="601"/>
      <c r="K171" s="598"/>
      <c r="L171" s="598"/>
      <c r="M171" s="602"/>
      <c r="N171" s="602"/>
      <c r="O171" s="602"/>
      <c r="P171" s="602"/>
      <c r="Q171" s="598"/>
      <c r="R171" s="598"/>
      <c r="S171" s="598"/>
      <c r="T171" s="600"/>
      <c r="U171" s="598"/>
      <c r="V171" s="598"/>
    </row>
    <row r="172" spans="1:22" s="604" customFormat="1" ht="242.25" x14ac:dyDescent="0.45">
      <c r="A172" s="598"/>
      <c r="B172" s="598" t="s">
        <v>265</v>
      </c>
      <c r="C172" s="598" t="s">
        <v>531</v>
      </c>
      <c r="D172" s="598" t="s">
        <v>876</v>
      </c>
      <c r="E172" s="599">
        <f>DGNBvægtning!I93+DGNBvægtning!I96</f>
        <v>9.0361445783132526E-3</v>
      </c>
      <c r="F172" s="600">
        <f>$F$166*G172</f>
        <v>1.9157652745439002</v>
      </c>
      <c r="G172" s="599">
        <f>E172/$E$166</f>
        <v>3.8315305490878006E-2</v>
      </c>
      <c r="H172" s="600">
        <v>1</v>
      </c>
      <c r="I172" s="601" t="s">
        <v>492</v>
      </c>
      <c r="J172" s="601"/>
      <c r="K172" s="598" t="s">
        <v>985</v>
      </c>
      <c r="L172" s="598"/>
      <c r="M172" s="602"/>
      <c r="N172" s="602">
        <f>IF('Sortering af spørgsmål'!$C$15=Projektforudsætninger!$C$20,'Dialogpart 1'!$J$57,IF('Sortering af spørgsmål'!$C$15=Projektforudsætninger!$C$21,'Dialogpart 2'!$J$57,IF('Sortering af spørgsmål'!$C$15=Projektforudsætninger!$C$22,'Dialogpart 3'!$J$57,IF('Sortering af spørgsmål'!$C$15=Projektforudsætninger!$C$23,'Dialogpart 4'!$J$57,IF('Sortering af spørgsmål'!$C$15=Projektforudsætninger!$C$24,'Dialogpart 5'!$J$57,IF('Sortering af spørgsmål'!$C$15=Projektforudsætninger!$C$25,'Dialogpart 6'!$J$57,IF('Sortering af spørgsmål'!$C$15=Projektforudsætninger!$C$22,'Dialogpart 7'!$J$57,IF('Sortering af spørgsmål'!$C$15=Projektforudsætninger!$C$23,#REF!,IF('Sortering af spørgsmål'!$C$15=Projektforudsætninger!$C$24,#REF!,IF('Sortering af spørgsmål'!$C$15=Projektforudsætninger!$C$25,#REF!,0))))))))))</f>
        <v>0</v>
      </c>
      <c r="O172" s="602"/>
      <c r="P172" s="602"/>
      <c r="Q172" s="598"/>
      <c r="R172" s="599">
        <f>'Sortering af spørgsmål'!$E$15*(Arbejdsark!E172/SUM($E$167:$E$212))</f>
        <v>3.3713692946058093E-3</v>
      </c>
      <c r="S172" s="599">
        <f>R172/$R$166</f>
        <v>8.4284232365145206E-3</v>
      </c>
      <c r="T172" s="600">
        <f>$T$166*S172</f>
        <v>0.42142116182572603</v>
      </c>
      <c r="U172" s="598"/>
      <c r="V172" s="598"/>
    </row>
    <row r="173" spans="1:22" s="604" customFormat="1" x14ac:dyDescent="0.45">
      <c r="A173" s="598"/>
      <c r="B173" s="598"/>
      <c r="C173" s="598"/>
      <c r="D173" s="598"/>
      <c r="E173" s="599"/>
      <c r="F173" s="603"/>
      <c r="G173" s="599"/>
      <c r="H173" s="600"/>
      <c r="I173" s="601"/>
      <c r="J173" s="601"/>
      <c r="K173" s="598"/>
      <c r="L173" s="598" t="s">
        <v>498</v>
      </c>
      <c r="M173" s="602">
        <v>1</v>
      </c>
      <c r="N173" s="602"/>
      <c r="O173" s="600">
        <f>ROUND(H172*M173,0)</f>
        <v>1</v>
      </c>
      <c r="P173" s="600">
        <f>O173-O173</f>
        <v>0</v>
      </c>
      <c r="Q173" s="598"/>
      <c r="R173" s="598"/>
      <c r="S173" s="598"/>
      <c r="T173" s="600"/>
      <c r="U173" s="600">
        <f>ROUND(T172*M173,0)</f>
        <v>0</v>
      </c>
      <c r="V173" s="598"/>
    </row>
    <row r="174" spans="1:22" s="604" customFormat="1" x14ac:dyDescent="0.45">
      <c r="A174" s="598"/>
      <c r="B174" s="598"/>
      <c r="C174" s="598"/>
      <c r="D174" s="598"/>
      <c r="E174" s="599"/>
      <c r="F174" s="603"/>
      <c r="G174" s="599"/>
      <c r="H174" s="600"/>
      <c r="I174" s="601"/>
      <c r="J174" s="601"/>
      <c r="K174" s="598"/>
      <c r="L174" s="598" t="s">
        <v>499</v>
      </c>
      <c r="M174" s="602">
        <v>0.5</v>
      </c>
      <c r="N174" s="602"/>
      <c r="O174" s="600">
        <f>ROUND(H172*M174,0)</f>
        <v>1</v>
      </c>
      <c r="P174" s="600">
        <f>O173-O174</f>
        <v>0</v>
      </c>
      <c r="Q174" s="598"/>
      <c r="R174" s="598"/>
      <c r="S174" s="598"/>
      <c r="T174" s="600"/>
      <c r="U174" s="600">
        <f>ROUND(T172*M174,0)</f>
        <v>0</v>
      </c>
      <c r="V174" s="598"/>
    </row>
    <row r="175" spans="1:22" s="604" customFormat="1" x14ac:dyDescent="0.45">
      <c r="A175" s="598"/>
      <c r="B175" s="598"/>
      <c r="C175" s="598"/>
      <c r="D175" s="598"/>
      <c r="E175" s="599"/>
      <c r="F175" s="603"/>
      <c r="G175" s="599"/>
      <c r="H175" s="600"/>
      <c r="I175" s="601"/>
      <c r="J175" s="601"/>
      <c r="K175" s="598"/>
      <c r="L175" s="598" t="s">
        <v>495</v>
      </c>
      <c r="M175" s="602">
        <v>0</v>
      </c>
      <c r="N175" s="602"/>
      <c r="O175" s="600">
        <f>ROUND(H172*M175,0)</f>
        <v>0</v>
      </c>
      <c r="P175" s="600">
        <f>O173-O175</f>
        <v>1</v>
      </c>
      <c r="Q175" s="598"/>
      <c r="R175" s="598"/>
      <c r="S175" s="598"/>
      <c r="T175" s="600"/>
      <c r="U175" s="600">
        <f>ROUND(T172*M175,0)</f>
        <v>0</v>
      </c>
      <c r="V175" s="598"/>
    </row>
    <row r="176" spans="1:22" s="604" customFormat="1" x14ac:dyDescent="0.45">
      <c r="A176" s="598"/>
      <c r="B176" s="598"/>
      <c r="C176" s="598"/>
      <c r="D176" s="598"/>
      <c r="E176" s="599"/>
      <c r="F176" s="603"/>
      <c r="G176" s="599"/>
      <c r="H176" s="600"/>
      <c r="I176" s="601"/>
      <c r="J176" s="601"/>
      <c r="K176" s="598"/>
      <c r="L176" s="598"/>
      <c r="M176" s="602"/>
      <c r="N176" s="602"/>
      <c r="O176" s="602"/>
      <c r="P176" s="602"/>
      <c r="Q176" s="598"/>
      <c r="R176" s="598"/>
      <c r="S176" s="598"/>
      <c r="T176" s="600"/>
      <c r="U176" s="598"/>
      <c r="V176" s="598"/>
    </row>
    <row r="177" spans="1:22" s="604" customFormat="1" ht="256.5" x14ac:dyDescent="0.45">
      <c r="A177" s="598"/>
      <c r="B177" s="598" t="s">
        <v>281</v>
      </c>
      <c r="C177" s="598" t="s">
        <v>944</v>
      </c>
      <c r="D177" s="598" t="s">
        <v>877</v>
      </c>
      <c r="E177" s="599">
        <f>DGNBvægtning!I94+DGNBvægtning!I97</f>
        <v>9.0361445783132526E-3</v>
      </c>
      <c r="F177" s="600">
        <f>$F$166*G177</f>
        <v>1.9157652745439002</v>
      </c>
      <c r="G177" s="599">
        <f>E177/$E$166</f>
        <v>3.8315305490878006E-2</v>
      </c>
      <c r="H177" s="600">
        <v>1</v>
      </c>
      <c r="I177" s="601" t="s">
        <v>492</v>
      </c>
      <c r="J177" s="601"/>
      <c r="K177" s="598" t="s">
        <v>986</v>
      </c>
      <c r="L177" s="598"/>
      <c r="M177" s="602"/>
      <c r="N177" s="602">
        <f>IF('Sortering af spørgsmål'!$C$15=Projektforudsætninger!$C$20,'Dialogpart 1'!$J$58,IF('Sortering af spørgsmål'!$C$15=Projektforudsætninger!$C$21,'Dialogpart 2'!$J$58,IF('Sortering af spørgsmål'!$C$15=Projektforudsætninger!$C$22,'Dialogpart 3'!$J$58,IF('Sortering af spørgsmål'!$C$15=Projektforudsætninger!$C$23,'Dialogpart 4'!$J$58,IF('Sortering af spørgsmål'!$C$15=Projektforudsætninger!$C$24,'Dialogpart 5'!$J$58,IF('Sortering af spørgsmål'!$C$15=Projektforudsætninger!$C$25,'Dialogpart 6'!$J$58,IF('Sortering af spørgsmål'!$C$15=Projektforudsætninger!$C$22,'Dialogpart 7'!$J$58,IF('Sortering af spørgsmål'!$C$15=Projektforudsætninger!$C$23,#REF!,IF('Sortering af spørgsmål'!$C$15=Projektforudsætninger!$C$24,#REF!,IF('Sortering af spørgsmål'!$C$15=Projektforudsætninger!$C$25,#REF!,0))))))))))</f>
        <v>0</v>
      </c>
      <c r="O177" s="602"/>
      <c r="P177" s="602"/>
      <c r="Q177" s="598"/>
      <c r="R177" s="599">
        <f>'Sortering af spørgsmål'!$E$15*(Arbejdsark!E177/SUM($E$167:$E$212))</f>
        <v>3.3713692946058093E-3</v>
      </c>
      <c r="S177" s="599">
        <f>R177/$R$166</f>
        <v>8.4284232365145206E-3</v>
      </c>
      <c r="T177" s="600">
        <f>$T$166*S177</f>
        <v>0.42142116182572603</v>
      </c>
      <c r="U177" s="598"/>
      <c r="V177" s="598"/>
    </row>
    <row r="178" spans="1:22" s="604" customFormat="1" x14ac:dyDescent="0.45">
      <c r="A178" s="598"/>
      <c r="B178" s="598"/>
      <c r="C178" s="598"/>
      <c r="D178" s="598"/>
      <c r="E178" s="599"/>
      <c r="F178" s="603"/>
      <c r="G178" s="599"/>
      <c r="H178" s="600"/>
      <c r="I178" s="601"/>
      <c r="J178" s="601"/>
      <c r="K178" s="598"/>
      <c r="L178" s="598" t="s">
        <v>498</v>
      </c>
      <c r="M178" s="602">
        <v>1</v>
      </c>
      <c r="N178" s="602"/>
      <c r="O178" s="600">
        <f>ROUND(H177*M178,0)</f>
        <v>1</v>
      </c>
      <c r="P178" s="600">
        <f>O178-O178</f>
        <v>0</v>
      </c>
      <c r="Q178" s="598"/>
      <c r="R178" s="598"/>
      <c r="S178" s="598"/>
      <c r="T178" s="600"/>
      <c r="U178" s="600">
        <f>ROUND(T177*M178,0)</f>
        <v>0</v>
      </c>
      <c r="V178" s="598"/>
    </row>
    <row r="179" spans="1:22" s="604" customFormat="1" x14ac:dyDescent="0.45">
      <c r="A179" s="598"/>
      <c r="B179" s="598"/>
      <c r="C179" s="598"/>
      <c r="D179" s="598"/>
      <c r="E179" s="599"/>
      <c r="F179" s="603"/>
      <c r="G179" s="599"/>
      <c r="H179" s="600"/>
      <c r="I179" s="601"/>
      <c r="J179" s="601"/>
      <c r="K179" s="598"/>
      <c r="L179" s="598" t="s">
        <v>499</v>
      </c>
      <c r="M179" s="602">
        <v>0.8</v>
      </c>
      <c r="N179" s="602"/>
      <c r="O179" s="600">
        <f>ROUND(H177*M179,0)</f>
        <v>1</v>
      </c>
      <c r="P179" s="600">
        <f>O178-O179</f>
        <v>0</v>
      </c>
      <c r="Q179" s="598"/>
      <c r="R179" s="598"/>
      <c r="S179" s="598"/>
      <c r="T179" s="600"/>
      <c r="U179" s="600">
        <f>ROUND(T177*M179,0)</f>
        <v>0</v>
      </c>
      <c r="V179" s="598"/>
    </row>
    <row r="180" spans="1:22" s="604" customFormat="1" x14ac:dyDescent="0.45">
      <c r="A180" s="598"/>
      <c r="B180" s="598"/>
      <c r="C180" s="598"/>
      <c r="D180" s="598"/>
      <c r="E180" s="599"/>
      <c r="F180" s="603"/>
      <c r="G180" s="599"/>
      <c r="H180" s="600"/>
      <c r="I180" s="601"/>
      <c r="J180" s="601"/>
      <c r="K180" s="598"/>
      <c r="L180" s="598" t="s">
        <v>495</v>
      </c>
      <c r="M180" s="752">
        <v>0.499</v>
      </c>
      <c r="N180" s="602"/>
      <c r="O180" s="600">
        <f>ROUND(H177*M180,0)</f>
        <v>0</v>
      </c>
      <c r="P180" s="600">
        <f>O178-O180</f>
        <v>1</v>
      </c>
      <c r="Q180" s="598"/>
      <c r="R180" s="598"/>
      <c r="S180" s="598"/>
      <c r="T180" s="600"/>
      <c r="U180" s="600">
        <f>ROUND(T177*M180,0)</f>
        <v>0</v>
      </c>
      <c r="V180" s="598"/>
    </row>
    <row r="181" spans="1:22" s="604" customFormat="1" x14ac:dyDescent="0.45">
      <c r="A181" s="598"/>
      <c r="B181" s="598"/>
      <c r="C181" s="598"/>
      <c r="D181" s="598"/>
      <c r="E181" s="599"/>
      <c r="F181" s="603"/>
      <c r="G181" s="599"/>
      <c r="H181" s="600"/>
      <c r="I181" s="601"/>
      <c r="J181" s="601"/>
      <c r="K181" s="598"/>
      <c r="L181" s="742"/>
      <c r="M181" s="602"/>
      <c r="N181" s="602"/>
      <c r="O181" s="602"/>
      <c r="P181" s="602"/>
      <c r="Q181" s="598"/>
      <c r="R181" s="598"/>
      <c r="S181" s="598"/>
      <c r="T181" s="600"/>
      <c r="U181" s="598"/>
      <c r="V181" s="598"/>
    </row>
    <row r="182" spans="1:22" s="604" customFormat="1" ht="299.25" x14ac:dyDescent="0.45">
      <c r="A182" s="598"/>
      <c r="B182" s="598" t="s">
        <v>282</v>
      </c>
      <c r="C182" s="598" t="s">
        <v>532</v>
      </c>
      <c r="D182" s="598" t="s">
        <v>380</v>
      </c>
      <c r="E182" s="599">
        <f>DGNBvægtning!I172</f>
        <v>3.4615384615384617E-2</v>
      </c>
      <c r="F182" s="600">
        <f>$F$166*G182</f>
        <v>7.3388546670989419</v>
      </c>
      <c r="G182" s="599">
        <f>E182/$E$166</f>
        <v>0.14677709334197883</v>
      </c>
      <c r="H182" s="600">
        <v>6</v>
      </c>
      <c r="I182" s="601" t="s">
        <v>492</v>
      </c>
      <c r="J182" s="601"/>
      <c r="K182" s="598" t="s">
        <v>987</v>
      </c>
      <c r="L182" s="598"/>
      <c r="M182" s="602"/>
      <c r="N182" s="602">
        <f>IF('Sortering af spørgsmål'!$C$15=Projektforudsætninger!$C$20,'Dialogpart 1'!$J$59,IF('Sortering af spørgsmål'!$C$15=Projektforudsætninger!$C$21,'Dialogpart 2'!$J$59,IF('Sortering af spørgsmål'!$C$15=Projektforudsætninger!$C$22,'Dialogpart 3'!$J$59,IF('Sortering af spørgsmål'!$C$15=Projektforudsætninger!$C$23,'Dialogpart 4'!$J$59,IF('Sortering af spørgsmål'!$C$15=Projektforudsætninger!$C$24,'Dialogpart 5'!$J$59,IF('Sortering af spørgsmål'!$C$15=Projektforudsætninger!$C$25,'Dialogpart 6'!$J$59,IF('Sortering af spørgsmål'!$C$15=Projektforudsætninger!$C$22,'Dialogpart 7'!$J$59,IF('Sortering af spørgsmål'!$C$15=Projektforudsætninger!$C$23,#REF!,IF('Sortering af spørgsmål'!$C$15=Projektforudsætninger!$C$24,#REF!,IF('Sortering af spørgsmål'!$C$15=Projektforudsætninger!$C$25,#REF!,0))))))))))</f>
        <v>0</v>
      </c>
      <c r="O182" s="602"/>
      <c r="P182" s="602"/>
      <c r="Q182" s="598"/>
      <c r="R182" s="599">
        <f>'Sortering af spørgsmål'!$E$15*(Arbejdsark!E182/SUM($E$167:$E$212))</f>
        <v>1.2914937759336102E-2</v>
      </c>
      <c r="S182" s="599">
        <f>R182/$R$166</f>
        <v>3.2287344398340245E-2</v>
      </c>
      <c r="T182" s="600">
        <f>$T$166*S182</f>
        <v>1.6143672199170123</v>
      </c>
      <c r="U182" s="598"/>
      <c r="V182" s="598"/>
    </row>
    <row r="183" spans="1:22" s="604" customFormat="1" x14ac:dyDescent="0.45">
      <c r="A183" s="598"/>
      <c r="B183" s="598"/>
      <c r="C183" s="598"/>
      <c r="D183" s="598"/>
      <c r="E183" s="599"/>
      <c r="F183" s="603"/>
      <c r="G183" s="599"/>
      <c r="H183" s="600"/>
      <c r="I183" s="601"/>
      <c r="J183" s="601"/>
      <c r="K183" s="598"/>
      <c r="L183" s="598" t="s">
        <v>498</v>
      </c>
      <c r="M183" s="602">
        <v>1</v>
      </c>
      <c r="N183" s="602"/>
      <c r="O183" s="600">
        <f>ROUND(H182*M183,0)</f>
        <v>6</v>
      </c>
      <c r="P183" s="600">
        <f>O183-O183</f>
        <v>0</v>
      </c>
      <c r="Q183" s="598"/>
      <c r="R183" s="598"/>
      <c r="S183" s="598"/>
      <c r="T183" s="600"/>
      <c r="U183" s="600">
        <f>ROUND(T182*M183,0)</f>
        <v>2</v>
      </c>
      <c r="V183" s="598"/>
    </row>
    <row r="184" spans="1:22" s="604" customFormat="1" x14ac:dyDescent="0.45">
      <c r="A184" s="598"/>
      <c r="B184" s="598"/>
      <c r="C184" s="598"/>
      <c r="D184" s="598"/>
      <c r="E184" s="599"/>
      <c r="F184" s="603"/>
      <c r="G184" s="599"/>
      <c r="H184" s="600"/>
      <c r="I184" s="601"/>
      <c r="J184" s="601"/>
      <c r="K184" s="598"/>
      <c r="L184" s="598" t="s">
        <v>499</v>
      </c>
      <c r="M184" s="602">
        <v>0.8</v>
      </c>
      <c r="N184" s="602"/>
      <c r="O184" s="600">
        <f>ROUND(H182*M184,0)</f>
        <v>5</v>
      </c>
      <c r="P184" s="600">
        <f>O183-O184</f>
        <v>1</v>
      </c>
      <c r="Q184" s="598"/>
      <c r="R184" s="598"/>
      <c r="S184" s="598"/>
      <c r="T184" s="600"/>
      <c r="U184" s="600">
        <f>ROUND(T182*M184,0)</f>
        <v>1</v>
      </c>
      <c r="V184" s="598"/>
    </row>
    <row r="185" spans="1:22" s="604" customFormat="1" x14ac:dyDescent="0.45">
      <c r="A185" s="598"/>
      <c r="B185" s="598"/>
      <c r="C185" s="598"/>
      <c r="D185" s="598"/>
      <c r="E185" s="599"/>
      <c r="F185" s="603"/>
      <c r="G185" s="599"/>
      <c r="H185" s="600"/>
      <c r="I185" s="601"/>
      <c r="J185" s="601"/>
      <c r="K185" s="598"/>
      <c r="L185" s="598" t="s">
        <v>495</v>
      </c>
      <c r="M185" s="602">
        <v>0</v>
      </c>
      <c r="N185" s="602"/>
      <c r="O185" s="600">
        <f>ROUND(H182*M185,0)</f>
        <v>0</v>
      </c>
      <c r="P185" s="600">
        <f>O183-O185</f>
        <v>6</v>
      </c>
      <c r="Q185" s="598"/>
      <c r="R185" s="598"/>
      <c r="S185" s="598"/>
      <c r="T185" s="600"/>
      <c r="U185" s="600">
        <f>ROUND(T182*M185,0)</f>
        <v>0</v>
      </c>
      <c r="V185" s="598"/>
    </row>
    <row r="186" spans="1:22" s="604" customFormat="1" x14ac:dyDescent="0.45">
      <c r="A186" s="598"/>
      <c r="B186" s="598"/>
      <c r="C186" s="598"/>
      <c r="D186" s="598"/>
      <c r="E186" s="599"/>
      <c r="F186" s="603"/>
      <c r="G186" s="599"/>
      <c r="H186" s="600"/>
      <c r="I186" s="601"/>
      <c r="J186" s="601"/>
      <c r="K186" s="598"/>
      <c r="L186" s="598"/>
      <c r="M186" s="602"/>
      <c r="N186" s="602"/>
      <c r="O186" s="602"/>
      <c r="P186" s="602"/>
      <c r="Q186" s="598"/>
      <c r="R186" s="598"/>
      <c r="S186" s="598"/>
      <c r="T186" s="600"/>
      <c r="U186" s="598"/>
      <c r="V186" s="598"/>
    </row>
    <row r="187" spans="1:22" s="604" customFormat="1" ht="285" x14ac:dyDescent="0.45">
      <c r="A187" s="598"/>
      <c r="B187" s="598" t="s">
        <v>313</v>
      </c>
      <c r="C187" s="598" t="s">
        <v>676</v>
      </c>
      <c r="D187" s="598" t="s">
        <v>678</v>
      </c>
      <c r="E187" s="599">
        <f>DGNBvægtning!I100</f>
        <v>1.355421686746988E-2</v>
      </c>
      <c r="F187" s="600">
        <f>$F$166*G187</f>
        <v>2.8736479118158504</v>
      </c>
      <c r="G187" s="599">
        <f>E187/$E$166</f>
        <v>5.7472958236317012E-2</v>
      </c>
      <c r="H187" s="600">
        <v>2</v>
      </c>
      <c r="I187" s="601" t="s">
        <v>492</v>
      </c>
      <c r="J187" s="601"/>
      <c r="K187" s="598" t="s">
        <v>989</v>
      </c>
      <c r="L187" s="598"/>
      <c r="M187" s="602"/>
      <c r="N187" s="602">
        <f>IF('Sortering af spørgsmål'!$C$15=Projektforudsætninger!$C$20,'Dialogpart 1'!$J$60,IF('Sortering af spørgsmål'!$C$15=Projektforudsætninger!$C$21,'Dialogpart 2'!$J$60,IF('Sortering af spørgsmål'!$C$15=Projektforudsætninger!$C$22,'Dialogpart 3'!$J$60,IF('Sortering af spørgsmål'!$C$15=Projektforudsætninger!$C$23,'Dialogpart 4'!$J$60,IF('Sortering af spørgsmål'!$C$15=Projektforudsætninger!$C$24,'Dialogpart 5'!$J$60,IF('Sortering af spørgsmål'!$C$15=Projektforudsætninger!$C$25,'Dialogpart 6'!$J$60,IF('Sortering af spørgsmål'!$C$15=Projektforudsætninger!$C$22,'Dialogpart 7'!$J$60,IF('Sortering af spørgsmål'!$C$15=Projektforudsætninger!$C$23,#REF!,IF('Sortering af spørgsmål'!$C$15=Projektforudsætninger!$C$24,#REF!,IF('Sortering af spørgsmål'!$C$15=Projektforudsætninger!$C$25,#REF!,0))))))))))</f>
        <v>0</v>
      </c>
      <c r="O187" s="602"/>
      <c r="P187" s="602"/>
      <c r="Q187" s="598"/>
      <c r="R187" s="599">
        <f>'Sortering af spørgsmål'!$E$15*(Arbejdsark!E187/SUM($E$167:$E$212))</f>
        <v>5.0570539419087139E-3</v>
      </c>
      <c r="S187" s="599">
        <f>R187/$R$166</f>
        <v>1.2642634854771781E-2</v>
      </c>
      <c r="T187" s="600">
        <f>$T$166*S187</f>
        <v>0.63213174273858908</v>
      </c>
      <c r="U187" s="598"/>
      <c r="V187" s="598"/>
    </row>
    <row r="188" spans="1:22" s="604" customFormat="1" x14ac:dyDescent="0.45">
      <c r="A188" s="598"/>
      <c r="B188" s="598"/>
      <c r="C188" s="598"/>
      <c r="D188" s="598"/>
      <c r="E188" s="599"/>
      <c r="F188" s="603"/>
      <c r="G188" s="599"/>
      <c r="H188" s="600"/>
      <c r="I188" s="601"/>
      <c r="J188" s="601"/>
      <c r="K188" s="598"/>
      <c r="L188" s="598" t="s">
        <v>498</v>
      </c>
      <c r="M188" s="602">
        <v>1</v>
      </c>
      <c r="N188" s="602"/>
      <c r="O188" s="600">
        <f>ROUND(H187*M188,0)</f>
        <v>2</v>
      </c>
      <c r="P188" s="600">
        <f>O188-O188</f>
        <v>0</v>
      </c>
      <c r="Q188" s="598"/>
      <c r="R188" s="598"/>
      <c r="S188" s="598"/>
      <c r="T188" s="600"/>
      <c r="U188" s="600">
        <f>ROUND(T187*M188,0)</f>
        <v>1</v>
      </c>
      <c r="V188" s="598"/>
    </row>
    <row r="189" spans="1:22" s="604" customFormat="1" x14ac:dyDescent="0.45">
      <c r="A189" s="598"/>
      <c r="B189" s="598"/>
      <c r="C189" s="598"/>
      <c r="D189" s="598"/>
      <c r="E189" s="599"/>
      <c r="F189" s="603"/>
      <c r="G189" s="599"/>
      <c r="H189" s="600"/>
      <c r="I189" s="601"/>
      <c r="J189" s="601"/>
      <c r="K189" s="598"/>
      <c r="L189" s="598" t="s">
        <v>499</v>
      </c>
      <c r="M189" s="602">
        <v>0.5</v>
      </c>
      <c r="N189" s="602"/>
      <c r="O189" s="600">
        <f>ROUND(H187*M189,0)</f>
        <v>1</v>
      </c>
      <c r="P189" s="600">
        <f>O188-O189</f>
        <v>1</v>
      </c>
      <c r="Q189" s="598"/>
      <c r="R189" s="598"/>
      <c r="S189" s="598"/>
      <c r="T189" s="600"/>
      <c r="U189" s="600">
        <f>ROUND(T187*M189,0)</f>
        <v>0</v>
      </c>
      <c r="V189" s="598"/>
    </row>
    <row r="190" spans="1:22" s="604" customFormat="1" x14ac:dyDescent="0.45">
      <c r="A190" s="598"/>
      <c r="B190" s="598"/>
      <c r="C190" s="598"/>
      <c r="D190" s="598"/>
      <c r="E190" s="599"/>
      <c r="F190" s="603"/>
      <c r="G190" s="599"/>
      <c r="H190" s="600"/>
      <c r="I190" s="601"/>
      <c r="J190" s="601"/>
      <c r="K190" s="598"/>
      <c r="L190" s="598" t="s">
        <v>495</v>
      </c>
      <c r="M190" s="602">
        <v>0</v>
      </c>
      <c r="N190" s="602"/>
      <c r="O190" s="600">
        <f>ROUND(H187*M190,0)</f>
        <v>0</v>
      </c>
      <c r="P190" s="600">
        <f>O188-O190</f>
        <v>2</v>
      </c>
      <c r="Q190" s="598"/>
      <c r="R190" s="598"/>
      <c r="S190" s="598"/>
      <c r="T190" s="600"/>
      <c r="U190" s="600">
        <f>ROUND(T187*M190,0)</f>
        <v>0</v>
      </c>
      <c r="V190" s="598"/>
    </row>
    <row r="191" spans="1:22" s="604" customFormat="1" ht="19.5" customHeight="1" x14ac:dyDescent="0.45">
      <c r="A191" s="598"/>
      <c r="B191" s="598"/>
      <c r="C191" s="598"/>
      <c r="D191" s="598"/>
      <c r="E191" s="599"/>
      <c r="F191" s="603"/>
      <c r="G191" s="599"/>
      <c r="H191" s="600"/>
      <c r="I191" s="601"/>
      <c r="J191" s="601"/>
      <c r="K191" s="598"/>
      <c r="L191" s="598" t="s">
        <v>988</v>
      </c>
      <c r="M191" s="602"/>
      <c r="N191" s="602"/>
      <c r="O191" s="602"/>
      <c r="P191" s="602"/>
      <c r="Q191" s="598"/>
      <c r="R191" s="598"/>
      <c r="S191" s="598"/>
      <c r="T191" s="600"/>
      <c r="U191" s="598"/>
      <c r="V191" s="598"/>
    </row>
    <row r="192" spans="1:22" s="604" customFormat="1" ht="285" x14ac:dyDescent="0.45">
      <c r="A192" s="598"/>
      <c r="B192" s="598" t="s">
        <v>315</v>
      </c>
      <c r="C192" s="598" t="s">
        <v>677</v>
      </c>
      <c r="D192" s="598" t="s">
        <v>534</v>
      </c>
      <c r="E192" s="599">
        <f>DGNBvægtning!I99</f>
        <v>1.355421686746988E-2</v>
      </c>
      <c r="F192" s="600">
        <f>$F$166*G192</f>
        <v>2.8736479118158504</v>
      </c>
      <c r="G192" s="599">
        <f>E192/$E$166</f>
        <v>5.7472958236317012E-2</v>
      </c>
      <c r="H192" s="600">
        <v>2</v>
      </c>
      <c r="I192" s="601" t="s">
        <v>492</v>
      </c>
      <c r="J192" s="601"/>
      <c r="K192" s="598" t="s">
        <v>990</v>
      </c>
      <c r="L192" s="598"/>
      <c r="M192" s="602"/>
      <c r="N192" s="602">
        <f>IF('Sortering af spørgsmål'!$C$15=Projektforudsætninger!$C$20,'Dialogpart 1'!$J$61,IF('Sortering af spørgsmål'!$C$15=Projektforudsætninger!$C$21,'Dialogpart 2'!$J$61,IF('Sortering af spørgsmål'!$C$15=Projektforudsætninger!$C$22,'Dialogpart 3'!$J$61,IF('Sortering af spørgsmål'!$C$15=Projektforudsætninger!$C$23,'Dialogpart 4'!$J$61,IF('Sortering af spørgsmål'!$C$15=Projektforudsætninger!$C$24,'Dialogpart 5'!$J$61,IF('Sortering af spørgsmål'!$C$15=Projektforudsætninger!$C$25,'Dialogpart 6'!$J$61,IF('Sortering af spørgsmål'!$C$15=Projektforudsætninger!$C$22,'Dialogpart 7'!$J$61,IF('Sortering af spørgsmål'!$C$15=Projektforudsætninger!$C$23,#REF!,IF('Sortering af spørgsmål'!$C$15=Projektforudsætninger!$C$24,#REF!,IF('Sortering af spørgsmål'!$C$15=Projektforudsætninger!$C$25,#REF!,0))))))))))</f>
        <v>0</v>
      </c>
      <c r="O192" s="602"/>
      <c r="P192" s="602"/>
      <c r="Q192" s="598"/>
      <c r="R192" s="599">
        <f>'Sortering af spørgsmål'!$E$15*(Arbejdsark!E192/SUM($E$167:$E$212))</f>
        <v>5.0570539419087139E-3</v>
      </c>
      <c r="S192" s="599">
        <f>R192/$R$166</f>
        <v>1.2642634854771781E-2</v>
      </c>
      <c r="T192" s="600">
        <f>$T$166*S192</f>
        <v>0.63213174273858908</v>
      </c>
      <c r="U192" s="598"/>
      <c r="V192" s="598"/>
    </row>
    <row r="193" spans="1:22" s="604" customFormat="1" ht="42.75" x14ac:dyDescent="0.45">
      <c r="A193" s="598"/>
      <c r="B193" s="598"/>
      <c r="C193" s="598"/>
      <c r="D193" s="598"/>
      <c r="E193" s="599"/>
      <c r="F193" s="603"/>
      <c r="G193" s="599"/>
      <c r="H193" s="600"/>
      <c r="I193" s="601"/>
      <c r="J193" s="601"/>
      <c r="K193" s="598" t="s">
        <v>928</v>
      </c>
      <c r="L193" s="598" t="s">
        <v>498</v>
      </c>
      <c r="M193" s="602">
        <v>1</v>
      </c>
      <c r="N193" s="602"/>
      <c r="O193" s="600">
        <f>ROUND(H192*M193,0)</f>
        <v>2</v>
      </c>
      <c r="P193" s="600">
        <f>O193-O193</f>
        <v>0</v>
      </c>
      <c r="Q193" s="598"/>
      <c r="R193" s="598"/>
      <c r="S193" s="598"/>
      <c r="T193" s="600"/>
      <c r="U193" s="600">
        <f>ROUND(T192*M193,0)</f>
        <v>1</v>
      </c>
      <c r="V193" s="598"/>
    </row>
    <row r="194" spans="1:22" s="604" customFormat="1" x14ac:dyDescent="0.45">
      <c r="A194" s="598"/>
      <c r="B194" s="598"/>
      <c r="C194" s="598"/>
      <c r="D194" s="598"/>
      <c r="E194" s="599"/>
      <c r="F194" s="603"/>
      <c r="G194" s="599"/>
      <c r="H194" s="600"/>
      <c r="I194" s="601"/>
      <c r="J194" s="601"/>
      <c r="K194" s="598"/>
      <c r="L194" s="598" t="s">
        <v>499</v>
      </c>
      <c r="M194" s="602">
        <v>0.5</v>
      </c>
      <c r="N194" s="602"/>
      <c r="O194" s="600">
        <f>ROUND(H192*M194,0)</f>
        <v>1</v>
      </c>
      <c r="P194" s="600">
        <f>O193-O194</f>
        <v>1</v>
      </c>
      <c r="Q194" s="598"/>
      <c r="R194" s="598"/>
      <c r="S194" s="598"/>
      <c r="T194" s="600"/>
      <c r="U194" s="600">
        <f>ROUND(T192*M194,0)</f>
        <v>0</v>
      </c>
      <c r="V194" s="598"/>
    </row>
    <row r="195" spans="1:22" s="604" customFormat="1" x14ac:dyDescent="0.45">
      <c r="A195" s="598"/>
      <c r="B195" s="598"/>
      <c r="C195" s="598"/>
      <c r="D195" s="598"/>
      <c r="E195" s="599"/>
      <c r="F195" s="603"/>
      <c r="G195" s="599"/>
      <c r="H195" s="600"/>
      <c r="I195" s="601"/>
      <c r="J195" s="601"/>
      <c r="K195" s="598"/>
      <c r="L195" s="598" t="s">
        <v>495</v>
      </c>
      <c r="M195" s="602">
        <v>0</v>
      </c>
      <c r="N195" s="602"/>
      <c r="O195" s="600">
        <f>ROUND(H192*M195,0)</f>
        <v>0</v>
      </c>
      <c r="P195" s="600">
        <f>O193-O195</f>
        <v>2</v>
      </c>
      <c r="Q195" s="598"/>
      <c r="R195" s="598"/>
      <c r="S195" s="598"/>
      <c r="T195" s="600"/>
      <c r="U195" s="600">
        <f>ROUND(T192*M195,0)</f>
        <v>0</v>
      </c>
      <c r="V195" s="598"/>
    </row>
    <row r="196" spans="1:22" s="604" customFormat="1" x14ac:dyDescent="0.45">
      <c r="A196" s="598"/>
      <c r="B196" s="598"/>
      <c r="C196" s="598"/>
      <c r="D196" s="598"/>
      <c r="E196" s="599"/>
      <c r="F196" s="603"/>
      <c r="G196" s="599"/>
      <c r="H196" s="600"/>
      <c r="I196" s="601"/>
      <c r="J196" s="601"/>
      <c r="K196" s="598"/>
      <c r="L196" s="598"/>
      <c r="M196" s="602"/>
      <c r="N196" s="602"/>
      <c r="O196" s="602"/>
      <c r="P196" s="602"/>
      <c r="Q196" s="598"/>
      <c r="R196" s="598"/>
      <c r="S196" s="598"/>
      <c r="T196" s="600"/>
      <c r="U196" s="598"/>
      <c r="V196" s="598"/>
    </row>
    <row r="197" spans="1:22" s="604" customFormat="1" ht="242.25" x14ac:dyDescent="0.45">
      <c r="A197" s="598"/>
      <c r="B197" s="598" t="s">
        <v>317</v>
      </c>
      <c r="C197" s="598" t="s">
        <v>535</v>
      </c>
      <c r="D197" s="598" t="s">
        <v>679</v>
      </c>
      <c r="E197" s="599">
        <f>DGNBvægtning!I102+DGNBvægtning!I103</f>
        <v>1.2198795180722892E-2</v>
      </c>
      <c r="F197" s="600">
        <f>$F$166*G197</f>
        <v>2.5862831206342656</v>
      </c>
      <c r="G197" s="599">
        <f>E197/$E$166</f>
        <v>5.1725662412685315E-2</v>
      </c>
      <c r="H197" s="600">
        <v>1</v>
      </c>
      <c r="I197" s="601" t="s">
        <v>492</v>
      </c>
      <c r="J197" s="601"/>
      <c r="K197" s="598" t="s">
        <v>991</v>
      </c>
      <c r="L197" s="598"/>
      <c r="M197" s="602"/>
      <c r="N197" s="602">
        <f>IF('Sortering af spørgsmål'!$C$15=Projektforudsætninger!$C$20,'Dialogpart 1'!$J$62,IF('Sortering af spørgsmål'!$C$15=Projektforudsætninger!$C$21,'Dialogpart 2'!$J$62,IF('Sortering af spørgsmål'!$C$15=Projektforudsætninger!$C$22,'Dialogpart 3'!$J$62,IF('Sortering af spørgsmål'!$C$15=Projektforudsætninger!$C$23,'Dialogpart 4'!$J$62,IF('Sortering af spørgsmål'!$C$15=Projektforudsætninger!$C$24,'Dialogpart 5'!$J$62,IF('Sortering af spørgsmål'!$C$15=Projektforudsætninger!$C$25,'Dialogpart 6'!$J$62,IF('Sortering af spørgsmål'!$C$15=Projektforudsætninger!$C$22,'Dialogpart 7'!$J$62,IF('Sortering af spørgsmål'!$C$15=Projektforudsætninger!$C$23,#REF!,IF('Sortering af spørgsmål'!$C$15=Projektforudsætninger!$C$24,#REF!,IF('Sortering af spørgsmål'!$C$15=Projektforudsætninger!$C$25,#REF!,0))))))))))</f>
        <v>0</v>
      </c>
      <c r="O197" s="602"/>
      <c r="P197" s="602"/>
      <c r="Q197" s="598"/>
      <c r="R197" s="599">
        <f>'Sortering af spørgsmål'!$E$15*(Arbejdsark!E197/SUM($E$167:$E$212))</f>
        <v>4.5513485477178426E-3</v>
      </c>
      <c r="S197" s="599">
        <f>R197/$R$166</f>
        <v>1.1378371369294604E-2</v>
      </c>
      <c r="T197" s="749">
        <f>$T$166*S197</f>
        <v>0.56891856846473021</v>
      </c>
      <c r="U197" s="598"/>
      <c r="V197" s="598"/>
    </row>
    <row r="198" spans="1:22" s="604" customFormat="1" x14ac:dyDescent="0.45">
      <c r="A198" s="598"/>
      <c r="B198" s="598"/>
      <c r="C198" s="598"/>
      <c r="D198" s="598"/>
      <c r="E198" s="599"/>
      <c r="F198" s="603"/>
      <c r="G198" s="599"/>
      <c r="H198" s="600"/>
      <c r="I198" s="601"/>
      <c r="J198" s="601"/>
      <c r="K198" s="598"/>
      <c r="L198" s="598" t="s">
        <v>498</v>
      </c>
      <c r="M198" s="602">
        <v>1</v>
      </c>
      <c r="N198" s="602"/>
      <c r="O198" s="600">
        <f>ROUND(H197*M198,0)</f>
        <v>1</v>
      </c>
      <c r="P198" s="600">
        <f>O198-O198</f>
        <v>0</v>
      </c>
      <c r="Q198" s="598"/>
      <c r="R198" s="598"/>
      <c r="S198" s="598"/>
      <c r="T198" s="600"/>
      <c r="U198" s="600">
        <f>ROUND(T197*M198,0)</f>
        <v>1</v>
      </c>
      <c r="V198" s="598"/>
    </row>
    <row r="199" spans="1:22" s="604" customFormat="1" x14ac:dyDescent="0.45">
      <c r="A199" s="598"/>
      <c r="B199" s="598"/>
      <c r="C199" s="598"/>
      <c r="D199" s="598"/>
      <c r="E199" s="599"/>
      <c r="F199" s="603"/>
      <c r="G199" s="599"/>
      <c r="H199" s="600"/>
      <c r="I199" s="601"/>
      <c r="J199" s="601"/>
      <c r="K199" s="598"/>
      <c r="L199" s="598" t="s">
        <v>499</v>
      </c>
      <c r="M199" s="602">
        <f>32.5/50</f>
        <v>0.65</v>
      </c>
      <c r="N199" s="602"/>
      <c r="O199" s="600">
        <f>ROUND(H197*M199,0)</f>
        <v>1</v>
      </c>
      <c r="P199" s="600">
        <f>O198-O199</f>
        <v>0</v>
      </c>
      <c r="Q199" s="598"/>
      <c r="R199" s="598"/>
      <c r="S199" s="598"/>
      <c r="T199" s="600"/>
      <c r="U199" s="749">
        <v>1</v>
      </c>
      <c r="V199" s="598"/>
    </row>
    <row r="200" spans="1:22" s="604" customFormat="1" x14ac:dyDescent="0.45">
      <c r="A200" s="598"/>
      <c r="B200" s="598"/>
      <c r="C200" s="598"/>
      <c r="D200" s="598"/>
      <c r="E200" s="599"/>
      <c r="F200" s="603"/>
      <c r="G200" s="599"/>
      <c r="H200" s="600"/>
      <c r="I200" s="601"/>
      <c r="J200" s="601"/>
      <c r="K200" s="598"/>
      <c r="L200" s="598" t="s">
        <v>495</v>
      </c>
      <c r="M200" s="602">
        <v>0</v>
      </c>
      <c r="N200" s="602"/>
      <c r="O200" s="600">
        <f>ROUND(H197*M200,0)</f>
        <v>0</v>
      </c>
      <c r="P200" s="600">
        <f>O198-O200</f>
        <v>1</v>
      </c>
      <c r="Q200" s="598"/>
      <c r="R200" s="598"/>
      <c r="S200" s="598"/>
      <c r="T200" s="600"/>
      <c r="U200" s="600">
        <f>ROUND(T197*M200,0)</f>
        <v>0</v>
      </c>
      <c r="V200" s="598"/>
    </row>
    <row r="201" spans="1:22" s="604" customFormat="1" x14ac:dyDescent="0.45">
      <c r="A201" s="598"/>
      <c r="B201" s="598"/>
      <c r="C201" s="598"/>
      <c r="D201" s="598"/>
      <c r="E201" s="599"/>
      <c r="F201" s="603"/>
      <c r="G201" s="599"/>
      <c r="H201" s="600"/>
      <c r="I201" s="601"/>
      <c r="J201" s="601"/>
      <c r="K201" s="598"/>
      <c r="L201" s="598"/>
      <c r="M201" s="602"/>
      <c r="N201" s="602"/>
      <c r="O201" s="602"/>
      <c r="P201" s="602"/>
      <c r="Q201" s="598"/>
      <c r="R201" s="598"/>
      <c r="S201" s="598"/>
      <c r="T201" s="600"/>
      <c r="U201" s="598"/>
      <c r="V201" s="598"/>
    </row>
    <row r="202" spans="1:22" s="604" customFormat="1" ht="213.75" x14ac:dyDescent="0.45">
      <c r="A202" s="598"/>
      <c r="B202" s="598" t="s">
        <v>333</v>
      </c>
      <c r="C202" s="598" t="s">
        <v>303</v>
      </c>
      <c r="D202" s="598" t="s">
        <v>680</v>
      </c>
      <c r="E202" s="599">
        <f>DGNBvægtning!I106</f>
        <v>6.7771084337349399E-3</v>
      </c>
      <c r="F202" s="600">
        <f>$F$166*G202</f>
        <v>1.4368239559079252</v>
      </c>
      <c r="G202" s="599">
        <f>E202/$E$166</f>
        <v>2.8736479118158506E-2</v>
      </c>
      <c r="H202" s="600">
        <v>1</v>
      </c>
      <c r="I202" s="601" t="s">
        <v>492</v>
      </c>
      <c r="J202" s="601"/>
      <c r="K202" s="598" t="s">
        <v>992</v>
      </c>
      <c r="L202" s="598"/>
      <c r="M202" s="602"/>
      <c r="N202" s="602">
        <f>IF('Sortering af spørgsmål'!$C$15=Projektforudsætninger!$C$20,'Dialogpart 1'!$J$63,IF('Sortering af spørgsmål'!$C$15=Projektforudsætninger!$C$21,'Dialogpart 2'!$J$63,IF('Sortering af spørgsmål'!$C$15=Projektforudsætninger!$C$22,'Dialogpart 3'!$J$63,IF('Sortering af spørgsmål'!$C$15=Projektforudsætninger!$C$23,'Dialogpart 4'!$J$63,IF('Sortering af spørgsmål'!$C$15=Projektforudsætninger!$C$24,'Dialogpart 5'!$J$63,IF('Sortering af spørgsmål'!$C$15=Projektforudsætninger!$C$25,'Dialogpart 6'!$J$63,IF('Sortering af spørgsmål'!$C$15=Projektforudsætninger!$C$22,'Dialogpart 7'!$J$63,IF('Sortering af spørgsmål'!$C$15=Projektforudsætninger!$C$23,#REF!,IF('Sortering af spørgsmål'!$C$15=Projektforudsætninger!$C$24,#REF!,IF('Sortering af spørgsmål'!$C$15=Projektforudsætninger!$C$25,#REF!,0))))))))))</f>
        <v>0</v>
      </c>
      <c r="O202" s="602"/>
      <c r="P202" s="602"/>
      <c r="Q202" s="598"/>
      <c r="R202" s="599">
        <f>'Sortering af spørgsmål'!$E$15*(Arbejdsark!E202/SUM($E$167:$E$212))</f>
        <v>2.528526970954357E-3</v>
      </c>
      <c r="S202" s="599">
        <f>R202/$R$166</f>
        <v>6.3213174273858905E-3</v>
      </c>
      <c r="T202" s="600">
        <v>1</v>
      </c>
      <c r="U202" s="598"/>
      <c r="V202" s="598"/>
    </row>
    <row r="203" spans="1:22" s="604" customFormat="1" x14ac:dyDescent="0.45">
      <c r="A203" s="598"/>
      <c r="B203" s="598"/>
      <c r="C203" s="598"/>
      <c r="D203" s="598"/>
      <c r="E203" s="599"/>
      <c r="F203" s="603"/>
      <c r="G203" s="599"/>
      <c r="H203" s="600"/>
      <c r="I203" s="601"/>
      <c r="J203" s="601"/>
      <c r="K203" s="598"/>
      <c r="L203" s="598" t="s">
        <v>498</v>
      </c>
      <c r="M203" s="602">
        <v>1</v>
      </c>
      <c r="N203" s="602"/>
      <c r="O203" s="600">
        <f>ROUND(H202*M203,0)</f>
        <v>1</v>
      </c>
      <c r="P203" s="600">
        <f>O203-O203</f>
        <v>0</v>
      </c>
      <c r="Q203" s="598"/>
      <c r="R203" s="598"/>
      <c r="S203" s="598"/>
      <c r="T203" s="600"/>
      <c r="U203" s="600">
        <f>ROUND(T202*M203,0)</f>
        <v>1</v>
      </c>
      <c r="V203" s="598"/>
    </row>
    <row r="204" spans="1:22" s="604" customFormat="1" x14ac:dyDescent="0.45">
      <c r="A204" s="598"/>
      <c r="B204" s="598"/>
      <c r="C204" s="598"/>
      <c r="D204" s="598"/>
      <c r="E204" s="599"/>
      <c r="F204" s="603"/>
      <c r="G204" s="599"/>
      <c r="H204" s="600"/>
      <c r="I204" s="601"/>
      <c r="J204" s="601"/>
      <c r="K204" s="598"/>
      <c r="L204" s="598" t="s">
        <v>499</v>
      </c>
      <c r="M204" s="602">
        <v>0.6</v>
      </c>
      <c r="N204" s="602"/>
      <c r="O204" s="600">
        <f>ROUND(H202*M204,0)</f>
        <v>1</v>
      </c>
      <c r="P204" s="600">
        <f>O203-O204</f>
        <v>0</v>
      </c>
      <c r="Q204" s="598"/>
      <c r="R204" s="598"/>
      <c r="S204" s="598"/>
      <c r="T204" s="600"/>
      <c r="U204" s="600">
        <f>ROUND(T202*M204,0)</f>
        <v>1</v>
      </c>
      <c r="V204" s="598"/>
    </row>
    <row r="205" spans="1:22" s="604" customFormat="1" x14ac:dyDescent="0.45">
      <c r="A205" s="598"/>
      <c r="B205" s="598"/>
      <c r="C205" s="598"/>
      <c r="D205" s="598"/>
      <c r="E205" s="599"/>
      <c r="F205" s="603"/>
      <c r="G205" s="599"/>
      <c r="H205" s="600"/>
      <c r="I205" s="601"/>
      <c r="J205" s="601"/>
      <c r="K205" s="598"/>
      <c r="L205" s="598" t="s">
        <v>495</v>
      </c>
      <c r="M205" s="602">
        <v>0</v>
      </c>
      <c r="N205" s="602"/>
      <c r="O205" s="600">
        <f>ROUND(H202*M205,0)</f>
        <v>0</v>
      </c>
      <c r="P205" s="600">
        <f>O203-O205</f>
        <v>1</v>
      </c>
      <c r="Q205" s="598"/>
      <c r="R205" s="598"/>
      <c r="S205" s="598"/>
      <c r="T205" s="600"/>
      <c r="U205" s="600">
        <f>ROUND(T202*M205,0)</f>
        <v>0</v>
      </c>
      <c r="V205" s="598"/>
    </row>
    <row r="206" spans="1:22" s="604" customFormat="1" x14ac:dyDescent="0.45">
      <c r="A206" s="598"/>
      <c r="B206" s="598"/>
      <c r="C206" s="598"/>
      <c r="D206" s="598"/>
      <c r="E206" s="599"/>
      <c r="F206" s="603"/>
      <c r="G206" s="599"/>
      <c r="H206" s="600"/>
      <c r="I206" s="601"/>
      <c r="J206" s="601"/>
      <c r="K206" s="598"/>
      <c r="L206" s="598"/>
      <c r="M206" s="602"/>
      <c r="N206" s="602"/>
      <c r="O206" s="602"/>
      <c r="P206" s="602"/>
      <c r="Q206" s="598"/>
      <c r="R206" s="598"/>
      <c r="S206" s="598"/>
      <c r="T206" s="600"/>
      <c r="U206" s="598"/>
      <c r="V206" s="598"/>
    </row>
    <row r="207" spans="1:22" s="604" customFormat="1" ht="199.5" x14ac:dyDescent="0.45">
      <c r="A207" s="598"/>
      <c r="B207" s="598" t="s">
        <v>736</v>
      </c>
      <c r="C207" s="598" t="s">
        <v>302</v>
      </c>
      <c r="D207" s="598" t="s">
        <v>681</v>
      </c>
      <c r="E207" s="599">
        <f>DGNBvægtning!I105</f>
        <v>4.0662650602409636E-3</v>
      </c>
      <c r="F207" s="600">
        <f>$F$166*G207</f>
        <v>0.86209437354475504</v>
      </c>
      <c r="G207" s="599">
        <f>E207/$E$166</f>
        <v>1.7241887470895102E-2</v>
      </c>
      <c r="H207" s="600">
        <v>1</v>
      </c>
      <c r="I207" s="601" t="s">
        <v>492</v>
      </c>
      <c r="J207" s="601"/>
      <c r="K207" s="598" t="s">
        <v>994</v>
      </c>
      <c r="L207" s="598"/>
      <c r="M207" s="602"/>
      <c r="N207" s="602">
        <f>IF('Sortering af spørgsmål'!$C$15=Projektforudsætninger!$C$20,'Dialogpart 1'!$J$64,IF('Sortering af spørgsmål'!$C$15=Projektforudsætninger!$C$21,'Dialogpart 2'!$J$64,IF('Sortering af spørgsmål'!$C$15=Projektforudsætninger!$C$22,'Dialogpart 3'!$J$64,IF('Sortering af spørgsmål'!$C$15=Projektforudsætninger!$C$23,'Dialogpart 4'!$J$64,IF('Sortering af spørgsmål'!$C$15=Projektforudsætninger!$C$24,'Dialogpart 5'!$J$64,IF('Sortering af spørgsmål'!$C$15=Projektforudsætninger!$C$25,'Dialogpart 6'!$J$64,IF('Sortering af spørgsmål'!$C$15=Projektforudsætninger!$C$22,'Dialogpart 7'!$J$64,IF('Sortering af spørgsmål'!$C$15=Projektforudsætninger!$C$23,#REF!,IF('Sortering af spørgsmål'!$C$15=Projektforudsætninger!$C$24,#REF!,IF('Sortering af spørgsmål'!$C$15=Projektforudsætninger!$C$25,#REF!,0))))))))))</f>
        <v>0</v>
      </c>
      <c r="O207" s="602"/>
      <c r="P207" s="602"/>
      <c r="Q207" s="598"/>
      <c r="R207" s="599">
        <f>'Sortering af spørgsmål'!$E$15*(Arbejdsark!E207/SUM($E$167:$E$212))</f>
        <v>1.5171161825726139E-3</v>
      </c>
      <c r="S207" s="599">
        <f>R207/$R$166</f>
        <v>3.7927904564315335E-3</v>
      </c>
      <c r="T207" s="600">
        <f>$T$166*S207</f>
        <v>0.18963952282157667</v>
      </c>
      <c r="U207" s="598"/>
      <c r="V207" s="598"/>
    </row>
    <row r="208" spans="1:22" s="604" customFormat="1" ht="42.75" x14ac:dyDescent="0.45">
      <c r="A208" s="598"/>
      <c r="B208" s="598"/>
      <c r="C208" s="598"/>
      <c r="D208" s="598"/>
      <c r="E208" s="599"/>
      <c r="F208" s="603"/>
      <c r="G208" s="599"/>
      <c r="H208" s="600"/>
      <c r="I208" s="601"/>
      <c r="J208" s="601"/>
      <c r="K208" s="598" t="s">
        <v>929</v>
      </c>
      <c r="L208" s="598" t="s">
        <v>498</v>
      </c>
      <c r="M208" s="602">
        <v>1</v>
      </c>
      <c r="N208" s="602"/>
      <c r="O208" s="600">
        <f>ROUND(H207*M208,0)</f>
        <v>1</v>
      </c>
      <c r="P208" s="600">
        <f>O208-O208</f>
        <v>0</v>
      </c>
      <c r="Q208" s="598"/>
      <c r="R208" s="598"/>
      <c r="S208" s="598"/>
      <c r="T208" s="600"/>
      <c r="U208" s="600">
        <f>ROUND(T207*M208,0)</f>
        <v>0</v>
      </c>
      <c r="V208" s="598"/>
    </row>
    <row r="209" spans="1:22" s="604" customFormat="1" x14ac:dyDescent="0.45">
      <c r="A209" s="598"/>
      <c r="B209" s="598"/>
      <c r="C209" s="598"/>
      <c r="D209" s="598"/>
      <c r="E209" s="599"/>
      <c r="F209" s="603"/>
      <c r="G209" s="599"/>
      <c r="H209" s="600"/>
      <c r="I209" s="601"/>
      <c r="J209" s="601"/>
      <c r="K209" s="598"/>
      <c r="L209" s="598" t="s">
        <v>499</v>
      </c>
      <c r="M209" s="602">
        <v>0.5</v>
      </c>
      <c r="N209" s="602"/>
      <c r="O209" s="600">
        <f>ROUND(H207*M209,0)</f>
        <v>1</v>
      </c>
      <c r="P209" s="600">
        <f>O208-O209</f>
        <v>0</v>
      </c>
      <c r="Q209" s="598"/>
      <c r="R209" s="598"/>
      <c r="S209" s="598"/>
      <c r="T209" s="600"/>
      <c r="U209" s="600">
        <f>ROUND(T207*M209,0)</f>
        <v>0</v>
      </c>
      <c r="V209" s="598"/>
    </row>
    <row r="210" spans="1:22" s="604" customFormat="1" x14ac:dyDescent="0.45">
      <c r="A210" s="598"/>
      <c r="B210" s="598"/>
      <c r="C210" s="598"/>
      <c r="D210" s="598"/>
      <c r="E210" s="599"/>
      <c r="F210" s="603"/>
      <c r="G210" s="599"/>
      <c r="H210" s="600"/>
      <c r="I210" s="601"/>
      <c r="J210" s="601"/>
      <c r="K210" s="598"/>
      <c r="L210" s="598" t="s">
        <v>495</v>
      </c>
      <c r="M210" s="602">
        <v>0</v>
      </c>
      <c r="N210" s="602"/>
      <c r="O210" s="600">
        <f>ROUND(H207*M210,0)</f>
        <v>0</v>
      </c>
      <c r="P210" s="600">
        <f>O208-O210</f>
        <v>1</v>
      </c>
      <c r="Q210" s="598"/>
      <c r="R210" s="598"/>
      <c r="S210" s="598"/>
      <c r="T210" s="600"/>
      <c r="U210" s="600">
        <f>ROUND(T207*M210,0)</f>
        <v>0</v>
      </c>
      <c r="V210" s="598"/>
    </row>
    <row r="211" spans="1:22" s="604" customFormat="1" ht="42.75" x14ac:dyDescent="0.45">
      <c r="A211" s="598"/>
      <c r="B211" s="598"/>
      <c r="C211" s="598"/>
      <c r="D211" s="598"/>
      <c r="E211" s="599"/>
      <c r="F211" s="603"/>
      <c r="G211" s="599"/>
      <c r="H211" s="600"/>
      <c r="I211" s="601"/>
      <c r="J211" s="601"/>
      <c r="K211" s="598"/>
      <c r="L211" s="598" t="s">
        <v>993</v>
      </c>
      <c r="M211" s="602"/>
      <c r="N211" s="602"/>
      <c r="O211" s="602"/>
      <c r="P211" s="602"/>
      <c r="Q211" s="598"/>
      <c r="R211" s="598"/>
      <c r="S211" s="598"/>
      <c r="T211" s="600"/>
      <c r="U211" s="598"/>
      <c r="V211" s="598"/>
    </row>
    <row r="212" spans="1:22" s="604" customFormat="1" ht="228" x14ac:dyDescent="0.45">
      <c r="A212" s="598"/>
      <c r="B212" s="598" t="s">
        <v>737</v>
      </c>
      <c r="C212" s="598" t="s">
        <v>301</v>
      </c>
      <c r="D212" s="598" t="s">
        <v>682</v>
      </c>
      <c r="E212" s="599">
        <f>DGNBvægtning!I104</f>
        <v>4.0662650602409636E-3</v>
      </c>
      <c r="F212" s="600">
        <f>$F$166*G212</f>
        <v>0.86209437354475504</v>
      </c>
      <c r="G212" s="599">
        <f>E212/$E$166</f>
        <v>1.7241887470895102E-2</v>
      </c>
      <c r="H212" s="600">
        <v>1</v>
      </c>
      <c r="I212" s="601" t="s">
        <v>492</v>
      </c>
      <c r="J212" s="601"/>
      <c r="K212" s="598" t="s">
        <v>995</v>
      </c>
      <c r="L212" s="598"/>
      <c r="M212" s="602"/>
      <c r="N212" s="602">
        <f>IF('Sortering af spørgsmål'!$C$15=Projektforudsætninger!$C$20,'Dialogpart 1'!$J$65,IF('Sortering af spørgsmål'!$C$15=Projektforudsætninger!$C$21,'Dialogpart 2'!$J$65,IF('Sortering af spørgsmål'!$C$15=Projektforudsætninger!$C$22,'Dialogpart 3'!$J$65,IF('Sortering af spørgsmål'!$C$15=Projektforudsætninger!$C$23,'Dialogpart 4'!$J$65,IF('Sortering af spørgsmål'!$C$15=Projektforudsætninger!$C$24,'Dialogpart 5'!$J$65,IF('Sortering af spørgsmål'!$C$15=Projektforudsætninger!$C$25,'Dialogpart 6'!$J$65,IF('Sortering af spørgsmål'!$C$15=Projektforudsætninger!$C$22,'Dialogpart 7'!$J$65,IF('Sortering af spørgsmål'!$C$15=Projektforudsætninger!$C$23,#REF!,IF('Sortering af spørgsmål'!$C$15=Projektforudsætninger!$C$24,#REF!,IF('Sortering af spørgsmål'!$C$15=Projektforudsætninger!$C$25,#REF!,0))))))))))</f>
        <v>0</v>
      </c>
      <c r="O212" s="602"/>
      <c r="P212" s="602"/>
      <c r="Q212" s="598"/>
      <c r="R212" s="599">
        <f>'Sortering af spørgsmål'!$E$15*(Arbejdsark!E212/SUM($E$167:$E$212))</f>
        <v>1.5171161825726139E-3</v>
      </c>
      <c r="S212" s="599">
        <f>R212/$R$166</f>
        <v>3.7927904564315335E-3</v>
      </c>
      <c r="T212" s="600">
        <f>$T$166*S212</f>
        <v>0.18963952282157667</v>
      </c>
      <c r="U212" s="598"/>
      <c r="V212" s="598"/>
    </row>
    <row r="213" spans="1:22" s="604" customFormat="1" x14ac:dyDescent="0.45">
      <c r="A213" s="598"/>
      <c r="B213" s="598"/>
      <c r="C213" s="598"/>
      <c r="D213" s="598"/>
      <c r="E213" s="599"/>
      <c r="F213" s="603"/>
      <c r="G213" s="599"/>
      <c r="H213" s="600"/>
      <c r="I213" s="601"/>
      <c r="J213" s="601"/>
      <c r="K213" s="598"/>
      <c r="L213" s="598" t="s">
        <v>498</v>
      </c>
      <c r="M213" s="602">
        <v>1</v>
      </c>
      <c r="N213" s="602"/>
      <c r="O213" s="600">
        <f>ROUND(H212*M213,0)</f>
        <v>1</v>
      </c>
      <c r="P213" s="600">
        <f>O213-O213</f>
        <v>0</v>
      </c>
      <c r="Q213" s="598"/>
      <c r="R213" s="598"/>
      <c r="S213" s="598"/>
      <c r="T213" s="600"/>
      <c r="U213" s="600">
        <f>ROUND(T212*M213,0)</f>
        <v>0</v>
      </c>
      <c r="V213" s="598"/>
    </row>
    <row r="214" spans="1:22" s="604" customFormat="1" x14ac:dyDescent="0.45">
      <c r="A214" s="598"/>
      <c r="B214" s="598"/>
      <c r="C214" s="598"/>
      <c r="D214" s="598"/>
      <c r="E214" s="599"/>
      <c r="F214" s="603"/>
      <c r="G214" s="599"/>
      <c r="H214" s="600"/>
      <c r="I214" s="601"/>
      <c r="J214" s="601"/>
      <c r="K214" s="598"/>
      <c r="L214" s="598" t="s">
        <v>499</v>
      </c>
      <c r="M214" s="602">
        <f>10/15</f>
        <v>0.66666666666666663</v>
      </c>
      <c r="N214" s="602"/>
      <c r="O214" s="600">
        <f>ROUND(H212*M214,0)</f>
        <v>1</v>
      </c>
      <c r="P214" s="600">
        <f>O213-O214</f>
        <v>0</v>
      </c>
      <c r="Q214" s="598"/>
      <c r="R214" s="598"/>
      <c r="S214" s="598"/>
      <c r="T214" s="600"/>
      <c r="U214" s="600">
        <f>ROUND(T212*M214,0)</f>
        <v>0</v>
      </c>
      <c r="V214" s="598"/>
    </row>
    <row r="215" spans="1:22" s="604" customFormat="1" x14ac:dyDescent="0.45">
      <c r="A215" s="598"/>
      <c r="B215" s="598"/>
      <c r="C215" s="598"/>
      <c r="D215" s="598"/>
      <c r="E215" s="599"/>
      <c r="F215" s="603"/>
      <c r="G215" s="599"/>
      <c r="H215" s="600"/>
      <c r="I215" s="601"/>
      <c r="J215" s="601"/>
      <c r="K215" s="598"/>
      <c r="L215" s="598" t="s">
        <v>495</v>
      </c>
      <c r="M215" s="602">
        <v>0</v>
      </c>
      <c r="N215" s="602"/>
      <c r="O215" s="600">
        <f>H212*M215</f>
        <v>0</v>
      </c>
      <c r="P215" s="600">
        <f>O213-O215</f>
        <v>1</v>
      </c>
      <c r="Q215" s="598"/>
      <c r="R215" s="598"/>
      <c r="S215" s="598"/>
      <c r="T215" s="600"/>
      <c r="U215" s="600">
        <f>ROUND(T212*M215,0)</f>
        <v>0</v>
      </c>
      <c r="V215" s="598"/>
    </row>
    <row r="216" spans="1:22" s="604" customFormat="1" x14ac:dyDescent="0.45">
      <c r="A216" s="598"/>
      <c r="B216" s="598"/>
      <c r="C216" s="598"/>
      <c r="D216" s="598"/>
      <c r="E216" s="599"/>
      <c r="F216" s="603"/>
      <c r="G216" s="599"/>
      <c r="H216" s="600"/>
      <c r="I216" s="601"/>
      <c r="J216" s="601"/>
      <c r="K216" s="598"/>
      <c r="L216" s="598"/>
      <c r="M216" s="602"/>
      <c r="N216" s="602"/>
      <c r="O216" s="602"/>
      <c r="P216" s="602"/>
      <c r="Q216" s="598"/>
      <c r="R216" s="598"/>
      <c r="S216" s="598"/>
      <c r="T216" s="600"/>
      <c r="U216" s="598"/>
      <c r="V216" s="598"/>
    </row>
    <row r="217" spans="1:22" s="604" customFormat="1" ht="228" x14ac:dyDescent="0.45">
      <c r="A217" s="598" t="s">
        <v>536</v>
      </c>
      <c r="B217" s="598" t="s">
        <v>283</v>
      </c>
      <c r="C217" s="598" t="s">
        <v>530</v>
      </c>
      <c r="D217" s="598" t="s">
        <v>683</v>
      </c>
      <c r="E217" s="599">
        <f>DGNBvægtning!I110</f>
        <v>3.6144578313253013E-3</v>
      </c>
      <c r="F217" s="600">
        <f>$F$166*G217</f>
        <v>0.7663061098175602</v>
      </c>
      <c r="G217" s="599">
        <f>E217/$E$166</f>
        <v>1.5326122196351204E-2</v>
      </c>
      <c r="H217" s="600">
        <v>1</v>
      </c>
      <c r="I217" s="601" t="s">
        <v>492</v>
      </c>
      <c r="J217" s="601"/>
      <c r="K217" s="598" t="s">
        <v>996</v>
      </c>
      <c r="L217" s="598"/>
      <c r="M217" s="602"/>
      <c r="N217" s="602">
        <f>IF('Sortering af spørgsmål'!$C$16=Projektforudsætninger!$C$20,'Dialogpart 1'!$J$68,IF('Sortering af spørgsmål'!$C$16=Projektforudsætninger!$C$21,'Dialogpart 2'!$J$68,IF('Sortering af spørgsmål'!$C$16=Projektforudsætninger!$C$22,'Dialogpart 3'!$J$68,IF('Sortering af spørgsmål'!$C$16=Projektforudsætninger!$C$23,'Dialogpart 4'!$J$68,IF('Sortering af spørgsmål'!$C$16=Projektforudsætninger!$C$24,'Dialogpart 5'!$J$68,IF('Sortering af spørgsmål'!$C$16=Projektforudsætninger!$C$25,'Dialogpart 6'!$J$68,IF('Sortering af spørgsmål'!$C$16=Projektforudsætninger!$C$22,'Dialogpart 7'!$J$68,IF('Sortering af spørgsmål'!$C$16=Projektforudsætninger!$C$23,#REF!,IF('Sortering af spørgsmål'!$C$16=Projektforudsætninger!$C$24,#REF!,IF('Sortering af spørgsmål'!$C$16=Projektforudsætninger!$C$25,#REF!,0))))))))))</f>
        <v>0</v>
      </c>
      <c r="O217" s="602"/>
      <c r="P217" s="602"/>
      <c r="Q217" s="598"/>
      <c r="R217" s="599">
        <f>'Sortering af spørgsmål'!$E$16*(Arbejdsark!E217/SUM($E$217:$E$232))</f>
        <v>1.0000000000000002E-2</v>
      </c>
      <c r="S217" s="599">
        <f>R217/$R$166</f>
        <v>2.4999999999999998E-2</v>
      </c>
      <c r="T217" s="600">
        <f>$T$166*S217</f>
        <v>1.25</v>
      </c>
      <c r="U217" s="598"/>
      <c r="V217" s="598"/>
    </row>
    <row r="218" spans="1:22" s="604" customFormat="1" x14ac:dyDescent="0.45">
      <c r="A218" s="598"/>
      <c r="B218" s="598"/>
      <c r="C218" s="598"/>
      <c r="D218" s="598"/>
      <c r="E218" s="599"/>
      <c r="F218" s="603"/>
      <c r="G218" s="599"/>
      <c r="H218" s="600"/>
      <c r="I218" s="601"/>
      <c r="J218" s="601"/>
      <c r="K218" s="598"/>
      <c r="L218" s="598" t="s">
        <v>498</v>
      </c>
      <c r="M218" s="602">
        <v>1</v>
      </c>
      <c r="N218" s="602"/>
      <c r="O218" s="600">
        <f>ROUND(H217*M218,0)</f>
        <v>1</v>
      </c>
      <c r="P218" s="600">
        <f>O218-O218</f>
        <v>0</v>
      </c>
      <c r="Q218" s="598"/>
      <c r="R218" s="598"/>
      <c r="S218" s="598"/>
      <c r="T218" s="600"/>
      <c r="U218" s="600">
        <f>ROUND(T217*M218,0)</f>
        <v>1</v>
      </c>
      <c r="V218" s="598"/>
    </row>
    <row r="219" spans="1:22" s="604" customFormat="1" x14ac:dyDescent="0.45">
      <c r="A219" s="598"/>
      <c r="B219" s="598"/>
      <c r="C219" s="598"/>
      <c r="D219" s="598"/>
      <c r="E219" s="599"/>
      <c r="F219" s="603"/>
      <c r="G219" s="599"/>
      <c r="H219" s="600"/>
      <c r="I219" s="601"/>
      <c r="J219" s="601"/>
      <c r="K219" s="598"/>
      <c r="L219" s="598" t="s">
        <v>499</v>
      </c>
      <c r="M219" s="602">
        <v>0.5</v>
      </c>
      <c r="N219" s="602"/>
      <c r="O219" s="600">
        <f>ROUND(H217*M219,0)</f>
        <v>1</v>
      </c>
      <c r="P219" s="600">
        <f>O218-O219</f>
        <v>0</v>
      </c>
      <c r="Q219" s="598"/>
      <c r="R219" s="598"/>
      <c r="S219" s="598"/>
      <c r="T219" s="600"/>
      <c r="U219" s="600">
        <f>ROUND(T217*M219,0)</f>
        <v>1</v>
      </c>
      <c r="V219" s="598"/>
    </row>
    <row r="220" spans="1:22" s="604" customFormat="1" x14ac:dyDescent="0.45">
      <c r="A220" s="598"/>
      <c r="B220" s="598"/>
      <c r="C220" s="598"/>
      <c r="D220" s="598"/>
      <c r="E220" s="599"/>
      <c r="F220" s="603"/>
      <c r="G220" s="599"/>
      <c r="H220" s="600"/>
      <c r="I220" s="601"/>
      <c r="J220" s="601"/>
      <c r="K220" s="598"/>
      <c r="L220" s="598" t="s">
        <v>495</v>
      </c>
      <c r="M220" s="602">
        <v>0</v>
      </c>
      <c r="N220" s="602"/>
      <c r="O220" s="600">
        <f>ROUND(H217*M220,0)</f>
        <v>0</v>
      </c>
      <c r="P220" s="600">
        <f>O218-O220</f>
        <v>1</v>
      </c>
      <c r="Q220" s="598"/>
      <c r="R220" s="598"/>
      <c r="S220" s="598"/>
      <c r="T220" s="600"/>
      <c r="U220" s="600">
        <f>ROUND(T217*M220,0)</f>
        <v>0</v>
      </c>
      <c r="V220" s="598"/>
    </row>
    <row r="221" spans="1:22" s="604" customFormat="1" x14ac:dyDescent="0.45">
      <c r="A221" s="598"/>
      <c r="B221" s="598"/>
      <c r="C221" s="598"/>
      <c r="D221" s="598"/>
      <c r="E221" s="599"/>
      <c r="F221" s="603"/>
      <c r="G221" s="599"/>
      <c r="H221" s="600"/>
      <c r="I221" s="601"/>
      <c r="J221" s="601"/>
      <c r="K221" s="598"/>
      <c r="L221" s="598"/>
      <c r="M221" s="602"/>
      <c r="N221" s="602"/>
      <c r="O221" s="602"/>
      <c r="P221" s="602"/>
      <c r="Q221" s="598"/>
      <c r="R221" s="598"/>
      <c r="S221" s="598"/>
      <c r="T221" s="600"/>
      <c r="U221" s="598"/>
      <c r="V221" s="598"/>
    </row>
    <row r="222" spans="1:22" s="604" customFormat="1" ht="199.5" x14ac:dyDescent="0.45">
      <c r="A222" s="598"/>
      <c r="B222" s="598" t="s">
        <v>268</v>
      </c>
      <c r="C222" s="598" t="s">
        <v>533</v>
      </c>
      <c r="D222" s="598" t="s">
        <v>684</v>
      </c>
      <c r="E222" s="599">
        <f>DGNBvægtning!I108</f>
        <v>7.2289156626506026E-3</v>
      </c>
      <c r="F222" s="600">
        <f>$F$166*G222</f>
        <v>1.5326122196351204</v>
      </c>
      <c r="G222" s="599">
        <f>E222/$E$166</f>
        <v>3.0652244392702407E-2</v>
      </c>
      <c r="H222" s="600">
        <v>1</v>
      </c>
      <c r="I222" s="601" t="s">
        <v>492</v>
      </c>
      <c r="J222" s="601"/>
      <c r="K222" s="598" t="s">
        <v>997</v>
      </c>
      <c r="L222" s="598"/>
      <c r="M222" s="602"/>
      <c r="N222" s="602">
        <f>IF('Sortering af spørgsmål'!$C$16=Projektforudsætninger!$C$20,'Dialogpart 1'!$J$69,IF('Sortering af spørgsmål'!$C$16=Projektforudsætninger!$C$21,'Dialogpart 2'!$J$69,IF('Sortering af spørgsmål'!$C$16=Projektforudsætninger!$C$22,'Dialogpart 3'!$J$69,IF('Sortering af spørgsmål'!$C$16=Projektforudsætninger!$C$23,'Dialogpart 4'!$J$69,IF('Sortering af spørgsmål'!$C$16=Projektforudsætninger!$C$24,'Dialogpart 5'!$J$69,IF('Sortering af spørgsmål'!$C$16=Projektforudsætninger!$C$25,'Dialogpart 6'!$J$69,IF('Sortering af spørgsmål'!$C$16=Projektforudsætninger!$C$22,'Dialogpart 7'!$J$69,IF('Sortering af spørgsmål'!$C$16=Projektforudsætninger!$C$23,#REF!,IF('Sortering af spørgsmål'!$C$16=Projektforudsætninger!$C$24,#REF!,IF('Sortering af spørgsmål'!$C$16=Projektforudsætninger!$C$25,#REF!,0))))))))))</f>
        <v>0</v>
      </c>
      <c r="O222" s="602"/>
      <c r="P222" s="602"/>
      <c r="Q222" s="598"/>
      <c r="R222" s="599">
        <f>'Sortering af spørgsmål'!$E$16*(Arbejdsark!E222/SUM($E$217:$E$232))</f>
        <v>2.0000000000000004E-2</v>
      </c>
      <c r="S222" s="599">
        <f>R222/$R$166</f>
        <v>4.9999999999999996E-2</v>
      </c>
      <c r="T222" s="600">
        <f>$T$166*S222</f>
        <v>2.5</v>
      </c>
      <c r="U222" s="598"/>
      <c r="V222" s="598"/>
    </row>
    <row r="223" spans="1:22" s="604" customFormat="1" x14ac:dyDescent="0.45">
      <c r="A223" s="598"/>
      <c r="B223" s="598"/>
      <c r="C223" s="598"/>
      <c r="D223" s="598"/>
      <c r="E223" s="599"/>
      <c r="F223" s="603"/>
      <c r="G223" s="599"/>
      <c r="H223" s="600"/>
      <c r="I223" s="601"/>
      <c r="J223" s="601"/>
      <c r="K223" s="598"/>
      <c r="L223" s="598" t="s">
        <v>498</v>
      </c>
      <c r="M223" s="602">
        <v>1</v>
      </c>
      <c r="N223" s="602"/>
      <c r="O223" s="600">
        <f>ROUND(H222*M223,0)</f>
        <v>1</v>
      </c>
      <c r="P223" s="600">
        <f>O223-O223</f>
        <v>0</v>
      </c>
      <c r="Q223" s="598"/>
      <c r="R223" s="598"/>
      <c r="S223" s="598"/>
      <c r="T223" s="600"/>
      <c r="U223" s="600">
        <f>ROUND(T222*M223,0)</f>
        <v>3</v>
      </c>
      <c r="V223" s="598"/>
    </row>
    <row r="224" spans="1:22" s="604" customFormat="1" x14ac:dyDescent="0.45">
      <c r="A224" s="598"/>
      <c r="B224" s="598"/>
      <c r="C224" s="598"/>
      <c r="D224" s="598"/>
      <c r="E224" s="599"/>
      <c r="F224" s="603"/>
      <c r="G224" s="599"/>
      <c r="H224" s="600"/>
      <c r="I224" s="601"/>
      <c r="J224" s="601"/>
      <c r="K224" s="598"/>
      <c r="L224" s="598" t="s">
        <v>499</v>
      </c>
      <c r="M224" s="602">
        <v>0.5</v>
      </c>
      <c r="N224" s="602"/>
      <c r="O224" s="600">
        <f>ROUND(H222*M224,0)</f>
        <v>1</v>
      </c>
      <c r="P224" s="600">
        <f>O223-O224</f>
        <v>0</v>
      </c>
      <c r="Q224" s="598"/>
      <c r="R224" s="598"/>
      <c r="S224" s="598"/>
      <c r="T224" s="600"/>
      <c r="U224" s="600">
        <f>ROUND(T222*M224,0)</f>
        <v>1</v>
      </c>
      <c r="V224" s="598"/>
    </row>
    <row r="225" spans="1:22" s="604" customFormat="1" x14ac:dyDescent="0.45">
      <c r="A225" s="598"/>
      <c r="B225" s="598"/>
      <c r="C225" s="598"/>
      <c r="D225" s="598"/>
      <c r="E225" s="599"/>
      <c r="F225" s="603"/>
      <c r="G225" s="599"/>
      <c r="H225" s="600"/>
      <c r="I225" s="601"/>
      <c r="J225" s="601"/>
      <c r="K225" s="598"/>
      <c r="L225" s="598" t="s">
        <v>495</v>
      </c>
      <c r="M225" s="602">
        <v>0</v>
      </c>
      <c r="N225" s="602"/>
      <c r="O225" s="600">
        <f>ROUND(H222*M225,0)</f>
        <v>0</v>
      </c>
      <c r="P225" s="600">
        <f>O223-O225</f>
        <v>1</v>
      </c>
      <c r="Q225" s="598"/>
      <c r="R225" s="598"/>
      <c r="S225" s="598"/>
      <c r="T225" s="600"/>
      <c r="U225" s="600">
        <f>ROUND(T222*M225,0)</f>
        <v>0</v>
      </c>
      <c r="V225" s="598"/>
    </row>
    <row r="226" spans="1:22" s="604" customFormat="1" x14ac:dyDescent="0.45">
      <c r="A226" s="598"/>
      <c r="B226" s="598"/>
      <c r="C226" s="598"/>
      <c r="D226" s="598"/>
      <c r="E226" s="599"/>
      <c r="F226" s="603"/>
      <c r="G226" s="599"/>
      <c r="H226" s="600"/>
      <c r="I226" s="601"/>
      <c r="J226" s="601"/>
      <c r="K226" s="598"/>
      <c r="L226" s="598"/>
      <c r="M226" s="602"/>
      <c r="N226" s="602"/>
      <c r="O226" s="602"/>
      <c r="P226" s="602"/>
      <c r="Q226" s="598"/>
      <c r="R226" s="598"/>
      <c r="S226" s="598"/>
      <c r="T226" s="600"/>
      <c r="U226" s="598"/>
      <c r="V226" s="598"/>
    </row>
    <row r="227" spans="1:22" s="604" customFormat="1" ht="199.5" x14ac:dyDescent="0.45">
      <c r="A227" s="598"/>
      <c r="B227" s="598" t="s">
        <v>285</v>
      </c>
      <c r="C227" s="598" t="s">
        <v>535</v>
      </c>
      <c r="D227" s="598" t="s">
        <v>685</v>
      </c>
      <c r="E227" s="599">
        <f>DGNBvægtning!I109</f>
        <v>7.2289156626506026E-3</v>
      </c>
      <c r="F227" s="600">
        <f>$F$166*G227</f>
        <v>1.5326122196351204</v>
      </c>
      <c r="G227" s="599">
        <f>E227/$E$166</f>
        <v>3.0652244392702407E-2</v>
      </c>
      <c r="H227" s="600">
        <v>1</v>
      </c>
      <c r="I227" s="601" t="s">
        <v>492</v>
      </c>
      <c r="J227" s="601"/>
      <c r="K227" s="598" t="s">
        <v>998</v>
      </c>
      <c r="L227" s="598"/>
      <c r="M227" s="602"/>
      <c r="N227" s="602">
        <f>IF('Sortering af spørgsmål'!$C$16=Projektforudsætninger!$C$20,'Dialogpart 1'!$J$70,IF('Sortering af spørgsmål'!$C$16=Projektforudsætninger!$C$21,'Dialogpart 2'!$J$70,IF('Sortering af spørgsmål'!$C$16=Projektforudsætninger!$C$22,'Dialogpart 3'!$J$70,IF('Sortering af spørgsmål'!$C$16=Projektforudsætninger!$C$23,'Dialogpart 4'!$J$70,IF('Sortering af spørgsmål'!$C$16=Projektforudsætninger!$C$24,'Dialogpart 5'!$J$70,IF('Sortering af spørgsmål'!$C$16=Projektforudsætninger!$C$25,'Dialogpart 6'!$J$70,IF('Sortering af spørgsmål'!$C$16=Projektforudsætninger!$C$22,'Dialogpart 7'!$J$70,IF('Sortering af spørgsmål'!$C$16=Projektforudsætninger!$C$23,#REF!,IF('Sortering af spørgsmål'!$C$16=Projektforudsætninger!$C$24,#REF!,IF('Sortering af spørgsmål'!$C$16=Projektforudsætninger!$C$25,#REF!,0))))))))))</f>
        <v>0</v>
      </c>
      <c r="O227" s="602"/>
      <c r="P227" s="602"/>
      <c r="Q227" s="598"/>
      <c r="R227" s="599">
        <f>'Sortering af spørgsmål'!$E$16*(Arbejdsark!E227/SUM($E$217:$E$232))</f>
        <v>2.0000000000000004E-2</v>
      </c>
      <c r="S227" s="599">
        <f>R227/$R$166</f>
        <v>4.9999999999999996E-2</v>
      </c>
      <c r="T227" s="600">
        <f>$T$166*S227</f>
        <v>2.5</v>
      </c>
      <c r="U227" s="598"/>
      <c r="V227" s="598"/>
    </row>
    <row r="228" spans="1:22" s="604" customFormat="1" x14ac:dyDescent="0.45">
      <c r="A228" s="598"/>
      <c r="B228" s="598"/>
      <c r="C228" s="598"/>
      <c r="D228" s="598"/>
      <c r="E228" s="599"/>
      <c r="F228" s="603"/>
      <c r="G228" s="599"/>
      <c r="H228" s="600"/>
      <c r="I228" s="601"/>
      <c r="J228" s="601"/>
      <c r="K228" s="598"/>
      <c r="L228" s="598" t="s">
        <v>498</v>
      </c>
      <c r="M228" s="602">
        <v>1</v>
      </c>
      <c r="N228" s="602"/>
      <c r="O228" s="600">
        <f>ROUND(H227*M228,0)</f>
        <v>1</v>
      </c>
      <c r="P228" s="600">
        <f>O228-O228</f>
        <v>0</v>
      </c>
      <c r="Q228" s="598"/>
      <c r="R228" s="598"/>
      <c r="S228" s="598"/>
      <c r="T228" s="600"/>
      <c r="U228" s="600">
        <f>ROUND(T227*M228,0)</f>
        <v>3</v>
      </c>
      <c r="V228" s="598"/>
    </row>
    <row r="229" spans="1:22" s="604" customFormat="1" x14ac:dyDescent="0.45">
      <c r="A229" s="598"/>
      <c r="B229" s="598"/>
      <c r="C229" s="598"/>
      <c r="D229" s="598"/>
      <c r="E229" s="599"/>
      <c r="F229" s="603"/>
      <c r="G229" s="599"/>
      <c r="H229" s="600"/>
      <c r="I229" s="601"/>
      <c r="J229" s="601"/>
      <c r="K229" s="598"/>
      <c r="L229" s="598" t="s">
        <v>499</v>
      </c>
      <c r="M229" s="602">
        <f>20/25</f>
        <v>0.8</v>
      </c>
      <c r="N229" s="602"/>
      <c r="O229" s="600">
        <f>ROUND(H227*M229,0)</f>
        <v>1</v>
      </c>
      <c r="P229" s="600">
        <f>O228-O229</f>
        <v>0</v>
      </c>
      <c r="Q229" s="598"/>
      <c r="R229" s="598"/>
      <c r="S229" s="598"/>
      <c r="T229" s="600"/>
      <c r="U229" s="600">
        <f>ROUND(T227*M229,0)</f>
        <v>2</v>
      </c>
      <c r="V229" s="598"/>
    </row>
    <row r="230" spans="1:22" s="604" customFormat="1" x14ac:dyDescent="0.45">
      <c r="A230" s="598"/>
      <c r="B230" s="598"/>
      <c r="C230" s="598"/>
      <c r="D230" s="598"/>
      <c r="E230" s="599"/>
      <c r="F230" s="603"/>
      <c r="G230" s="599"/>
      <c r="H230" s="600"/>
      <c r="I230" s="601"/>
      <c r="J230" s="601"/>
      <c r="K230" s="598"/>
      <c r="L230" s="598" t="s">
        <v>495</v>
      </c>
      <c r="M230" s="602">
        <v>0.4</v>
      </c>
      <c r="N230" s="602"/>
      <c r="O230" s="600">
        <f>ROUND(H227*M230,0)</f>
        <v>0</v>
      </c>
      <c r="P230" s="600">
        <f>O228-O230</f>
        <v>1</v>
      </c>
      <c r="Q230" s="598"/>
      <c r="R230" s="598"/>
      <c r="S230" s="598"/>
      <c r="T230" s="600"/>
      <c r="U230" s="600">
        <f>ROUND(T227*M230,0)</f>
        <v>1</v>
      </c>
      <c r="V230" s="598"/>
    </row>
    <row r="231" spans="1:22" s="604" customFormat="1" x14ac:dyDescent="0.45">
      <c r="A231" s="598"/>
      <c r="B231" s="598"/>
      <c r="C231" s="598"/>
      <c r="D231" s="598"/>
      <c r="E231" s="599"/>
      <c r="F231" s="603"/>
      <c r="G231" s="599"/>
      <c r="H231" s="600"/>
      <c r="I231" s="601"/>
      <c r="J231" s="601"/>
      <c r="K231" s="598"/>
      <c r="L231" s="598" t="s">
        <v>537</v>
      </c>
      <c r="M231" s="602">
        <v>0</v>
      </c>
      <c r="N231" s="602"/>
      <c r="O231" s="600">
        <f>H227*M231</f>
        <v>0</v>
      </c>
      <c r="P231" s="600"/>
      <c r="Q231" s="598"/>
      <c r="R231" s="598"/>
      <c r="S231" s="598"/>
      <c r="T231" s="600"/>
      <c r="U231" s="600">
        <f>ROUND(T227*M231,0)</f>
        <v>0</v>
      </c>
      <c r="V231" s="598"/>
    </row>
    <row r="232" spans="1:22" s="604" customFormat="1" x14ac:dyDescent="0.45">
      <c r="A232" s="598"/>
      <c r="B232" s="598"/>
      <c r="C232" s="598"/>
      <c r="D232" s="598"/>
      <c r="E232" s="599"/>
      <c r="F232" s="603"/>
      <c r="G232" s="599"/>
      <c r="H232" s="600"/>
      <c r="I232" s="601"/>
      <c r="J232" s="601"/>
      <c r="K232" s="598"/>
      <c r="L232" s="598"/>
      <c r="M232" s="602"/>
      <c r="N232" s="602"/>
      <c r="O232" s="600"/>
      <c r="P232" s="600"/>
      <c r="Q232" s="598"/>
      <c r="R232" s="598"/>
      <c r="S232" s="598"/>
      <c r="T232" s="600"/>
      <c r="U232" s="598"/>
      <c r="V232" s="598"/>
    </row>
    <row r="233" spans="1:22" s="604" customFormat="1" x14ac:dyDescent="0.45">
      <c r="A233" s="598"/>
      <c r="B233" s="598"/>
      <c r="C233" s="598"/>
      <c r="D233" s="598"/>
      <c r="E233" s="599"/>
      <c r="F233" s="603"/>
      <c r="G233" s="599"/>
      <c r="H233" s="600"/>
      <c r="I233" s="601"/>
      <c r="J233" s="601"/>
      <c r="K233" s="598"/>
      <c r="L233" s="598"/>
      <c r="M233" s="602"/>
      <c r="N233" s="602"/>
      <c r="O233" s="600"/>
      <c r="P233" s="600"/>
      <c r="Q233" s="598"/>
      <c r="R233" s="598"/>
      <c r="S233" s="598"/>
      <c r="T233" s="600"/>
      <c r="U233" s="598"/>
      <c r="V233" s="598"/>
    </row>
    <row r="234" spans="1:22" s="604" customFormat="1" ht="399" x14ac:dyDescent="0.45">
      <c r="A234" s="598" t="s">
        <v>336</v>
      </c>
      <c r="B234" s="598" t="s">
        <v>392</v>
      </c>
      <c r="C234" s="598" t="s">
        <v>686</v>
      </c>
      <c r="D234" s="598" t="s">
        <v>878</v>
      </c>
      <c r="E234" s="599">
        <f>DGNBvægtning!I130*0.5</f>
        <v>1.355421686746988E-2</v>
      </c>
      <c r="F234" s="600">
        <f>$F$166*G234</f>
        <v>2.8736479118158504</v>
      </c>
      <c r="G234" s="599">
        <f>E234/$E$166</f>
        <v>5.7472958236317012E-2</v>
      </c>
      <c r="H234" s="600">
        <v>3</v>
      </c>
      <c r="I234" s="601" t="s">
        <v>492</v>
      </c>
      <c r="J234" s="601"/>
      <c r="K234" s="598" t="s">
        <v>999</v>
      </c>
      <c r="L234" s="598"/>
      <c r="M234" s="602"/>
      <c r="N234" s="602">
        <f>IF('Sortering af spørgsmål'!$C$17=Projektforudsætninger!$C$20,'Dialogpart 1'!$J$73,IF('Sortering af spørgsmål'!$C$17=Projektforudsætninger!$C$21,'Dialogpart 2'!$J$73,IF('Sortering af spørgsmål'!$C$17=Projektforudsætninger!$C$22,'Dialogpart 3'!$J$73,IF('Sortering af spørgsmål'!$C$17=Projektforudsætninger!$C$23,'Dialogpart 4'!$J$73,IF('Sortering af spørgsmål'!$C$17=Projektforudsætninger!$C$24,'Dialogpart 5'!$J$73,IF('Sortering af spørgsmål'!$C$17=Projektforudsætninger!$C$25,'Dialogpart 6'!$J$73,IF('Sortering af spørgsmål'!$C$17=Projektforudsætninger!$C$22,'Dialogpart 7'!$J$73,IF('Sortering af spørgsmål'!$C$17=Projektforudsætninger!$C$23,#REF!,IF('Sortering af spørgsmål'!$C$17=Projektforudsætninger!$C$24,#REF!,IF('Sortering af spørgsmål'!$C$17=Projektforudsætninger!$C$25,#REF!,0))))))))))</f>
        <v>0</v>
      </c>
      <c r="O234" s="602"/>
      <c r="P234" s="602"/>
      <c r="Q234" s="598"/>
      <c r="R234" s="599">
        <f>'Sortering af spørgsmål'!$E$17*(Arbejdsark!E234/SUM($E$234:$E$238))</f>
        <v>0.05</v>
      </c>
      <c r="S234" s="599">
        <f>R234/$R$166</f>
        <v>0.12499999999999997</v>
      </c>
      <c r="T234" s="600">
        <f>$T$166*S234</f>
        <v>6.2499999999999982</v>
      </c>
      <c r="U234" s="598"/>
      <c r="V234" s="598"/>
    </row>
    <row r="235" spans="1:22" s="604" customFormat="1" x14ac:dyDescent="0.45">
      <c r="A235" s="598"/>
      <c r="B235" s="598"/>
      <c r="C235" s="598"/>
      <c r="D235" s="598"/>
      <c r="E235" s="599"/>
      <c r="F235" s="603"/>
      <c r="G235" s="599"/>
      <c r="H235" s="600"/>
      <c r="I235" s="601"/>
      <c r="J235" s="601"/>
      <c r="K235" s="598"/>
      <c r="L235" s="598" t="s">
        <v>498</v>
      </c>
      <c r="M235" s="602">
        <v>1</v>
      </c>
      <c r="N235" s="602"/>
      <c r="O235" s="600">
        <f>ROUND(H234*M235,0)</f>
        <v>3</v>
      </c>
      <c r="P235" s="600">
        <f>O235-O235</f>
        <v>0</v>
      </c>
      <c r="Q235" s="598"/>
      <c r="R235" s="598"/>
      <c r="S235" s="598"/>
      <c r="T235" s="600"/>
      <c r="U235" s="600">
        <f>ROUND(T234*M235,0)</f>
        <v>6</v>
      </c>
      <c r="V235" s="598"/>
    </row>
    <row r="236" spans="1:22" s="604" customFormat="1" x14ac:dyDescent="0.45">
      <c r="A236" s="598"/>
      <c r="B236" s="598"/>
      <c r="C236" s="598"/>
      <c r="D236" s="598"/>
      <c r="E236" s="599"/>
      <c r="F236" s="603"/>
      <c r="G236" s="599"/>
      <c r="H236" s="600"/>
      <c r="I236" s="601"/>
      <c r="J236" s="601"/>
      <c r="K236" s="598"/>
      <c r="L236" s="598" t="s">
        <v>499</v>
      </c>
      <c r="M236" s="602">
        <v>0.5</v>
      </c>
      <c r="N236" s="602"/>
      <c r="O236" s="600">
        <f>ROUND(H234*M236,0)</f>
        <v>2</v>
      </c>
      <c r="P236" s="600">
        <f>O235-O236</f>
        <v>1</v>
      </c>
      <c r="Q236" s="598"/>
      <c r="R236" s="598"/>
      <c r="S236" s="598"/>
      <c r="T236" s="600"/>
      <c r="U236" s="600">
        <f>ROUND(T234*M236,0)</f>
        <v>3</v>
      </c>
      <c r="V236" s="598"/>
    </row>
    <row r="237" spans="1:22" s="604" customFormat="1" x14ac:dyDescent="0.45">
      <c r="A237" s="598"/>
      <c r="B237" s="598"/>
      <c r="C237" s="598"/>
      <c r="D237" s="598"/>
      <c r="E237" s="599"/>
      <c r="F237" s="603"/>
      <c r="G237" s="599"/>
      <c r="H237" s="600"/>
      <c r="I237" s="601"/>
      <c r="J237" s="601"/>
      <c r="K237" s="598"/>
      <c r="L237" s="598" t="s">
        <v>495</v>
      </c>
      <c r="M237" s="602">
        <v>0.1</v>
      </c>
      <c r="N237" s="602"/>
      <c r="O237" s="600">
        <f>ROUND(H234*M237,0)</f>
        <v>0</v>
      </c>
      <c r="P237" s="600">
        <f>O235-O237</f>
        <v>3</v>
      </c>
      <c r="Q237" s="598"/>
      <c r="R237" s="598"/>
      <c r="S237" s="598"/>
      <c r="T237" s="600"/>
      <c r="U237" s="600">
        <f>ROUND(T234*M237,0)</f>
        <v>1</v>
      </c>
      <c r="V237" s="598"/>
    </row>
    <row r="238" spans="1:22" s="604" customFormat="1" ht="28.5" x14ac:dyDescent="0.45">
      <c r="A238" s="598"/>
      <c r="B238" s="598"/>
      <c r="C238" s="598"/>
      <c r="D238" s="598"/>
      <c r="E238" s="599"/>
      <c r="F238" s="603"/>
      <c r="G238" s="599"/>
      <c r="H238" s="600"/>
      <c r="I238" s="601"/>
      <c r="J238" s="601"/>
      <c r="K238" s="598"/>
      <c r="L238" s="598" t="s">
        <v>512</v>
      </c>
      <c r="M238" s="602"/>
      <c r="N238" s="602"/>
      <c r="O238" s="602"/>
      <c r="P238" s="602"/>
      <c r="Q238" s="598"/>
      <c r="R238" s="598"/>
      <c r="S238" s="598"/>
      <c r="T238" s="600"/>
      <c r="U238" s="598"/>
      <c r="V238" s="598"/>
    </row>
    <row r="239" spans="1:22" s="604" customFormat="1" ht="270.75" x14ac:dyDescent="0.45">
      <c r="A239" s="598" t="s">
        <v>539</v>
      </c>
      <c r="B239" s="598" t="s">
        <v>396</v>
      </c>
      <c r="C239" s="598" t="s">
        <v>540</v>
      </c>
      <c r="D239" s="598" t="s">
        <v>879</v>
      </c>
      <c r="E239" s="599">
        <f>DGNBvægtning!I118+DGNBvægtning!I122+0.8*DGNBvægtning!I123</f>
        <v>6.6867469879518084E-3</v>
      </c>
      <c r="F239" s="600">
        <f>$F$166*G239</f>
        <v>1.4176663031624868</v>
      </c>
      <c r="G239" s="599">
        <f>E239/$E$166</f>
        <v>2.8353326063249733E-2</v>
      </c>
      <c r="H239" s="600">
        <v>1</v>
      </c>
      <c r="I239" s="601" t="s">
        <v>492</v>
      </c>
      <c r="J239" s="601"/>
      <c r="K239" s="751" t="s">
        <v>1001</v>
      </c>
      <c r="L239" s="598"/>
      <c r="M239" s="602"/>
      <c r="N239" s="602">
        <f>IF('Sortering af spørgsmål'!$C$18=Projektforudsætninger!$C$20,'Dialogpart 1'!$J$77,IF('Sortering af spørgsmål'!$C$18=Projektforudsætninger!$C$21,'Dialogpart 2'!$J$77,IF('Sortering af spørgsmål'!$C$18=Projektforudsætninger!$C$22,'Dialogpart 3'!$J$77,IF('Sortering af spørgsmål'!$C$18=Projektforudsætninger!$C$23,'Dialogpart 4'!$J$77,IF('Sortering af spørgsmål'!$C$18=Projektforudsætninger!$C$24,'Dialogpart 5'!$J$77,IF('Sortering af spørgsmål'!$C$18=Projektforudsætninger!$C$25,'Dialogpart 6'!$J$77,IF('Sortering af spørgsmål'!$C$18=Projektforudsætninger!$C$22,'Dialogpart 7'!$J$77,IF('Sortering af spørgsmål'!$C$18=Projektforudsætninger!$C$23,#REF!,IF('Sortering af spørgsmål'!$C$18=Projektforudsætninger!$C$24,#REF!,IF('Sortering af spørgsmål'!$C$18=Projektforudsætninger!$C$25,#REF!,0))))))))))</f>
        <v>0</v>
      </c>
      <c r="O239" s="602"/>
      <c r="P239" s="602"/>
      <c r="Q239" s="598"/>
      <c r="R239" s="599">
        <f>'Sortering af spørgsmål'!$E$18*(Arbejdsark!E239/SUM($E$239:$E$244))</f>
        <v>3.2456140350877197E-2</v>
      </c>
      <c r="S239" s="599">
        <f>R239/$R$166</f>
        <v>8.1140350877192971E-2</v>
      </c>
      <c r="T239" s="600">
        <f>$T$166*S239</f>
        <v>4.057017543859649</v>
      </c>
      <c r="U239" s="598"/>
      <c r="V239" s="598"/>
    </row>
    <row r="240" spans="1:22" s="604" customFormat="1" x14ac:dyDescent="0.45">
      <c r="A240" s="598"/>
      <c r="B240" s="598"/>
      <c r="C240" s="598"/>
      <c r="D240" s="598"/>
      <c r="E240" s="599"/>
      <c r="F240" s="603"/>
      <c r="G240" s="599"/>
      <c r="H240" s="600"/>
      <c r="I240" s="601"/>
      <c r="J240" s="601"/>
      <c r="K240" s="598"/>
      <c r="L240" s="598" t="s">
        <v>498</v>
      </c>
      <c r="M240" s="602">
        <v>1</v>
      </c>
      <c r="N240" s="603"/>
      <c r="O240" s="600">
        <f>ROUND(H239*M240,0)</f>
        <v>1</v>
      </c>
      <c r="P240" s="600">
        <f>O240-O240</f>
        <v>0</v>
      </c>
      <c r="Q240" s="598"/>
      <c r="R240" s="598"/>
      <c r="S240" s="598"/>
      <c r="T240" s="600"/>
      <c r="U240" s="600">
        <f>ROUND(T239*M240,0)</f>
        <v>4</v>
      </c>
      <c r="V240" s="598"/>
    </row>
    <row r="241" spans="1:22" s="604" customFormat="1" x14ac:dyDescent="0.45">
      <c r="A241" s="598"/>
      <c r="B241" s="598"/>
      <c r="C241" s="598"/>
      <c r="D241" s="598"/>
      <c r="E241" s="599"/>
      <c r="F241" s="603"/>
      <c r="G241" s="599"/>
      <c r="H241" s="600"/>
      <c r="I241" s="601"/>
      <c r="J241" s="601"/>
      <c r="K241" s="598"/>
      <c r="L241" s="598" t="s">
        <v>499</v>
      </c>
      <c r="M241" s="602">
        <v>0.5</v>
      </c>
      <c r="N241" s="603"/>
      <c r="O241" s="600">
        <f>ROUND(H239*M241,0)</f>
        <v>1</v>
      </c>
      <c r="P241" s="600">
        <f>O240-O241</f>
        <v>0</v>
      </c>
      <c r="Q241" s="598"/>
      <c r="R241" s="598"/>
      <c r="S241" s="598"/>
      <c r="T241" s="600"/>
      <c r="U241" s="600">
        <f>ROUND(T239*M241,0)</f>
        <v>2</v>
      </c>
      <c r="V241" s="598"/>
    </row>
    <row r="242" spans="1:22" s="604" customFormat="1" x14ac:dyDescent="0.45">
      <c r="A242" s="598"/>
      <c r="B242" s="598"/>
      <c r="C242" s="598"/>
      <c r="D242" s="598"/>
      <c r="E242" s="599"/>
      <c r="F242" s="603"/>
      <c r="G242" s="599"/>
      <c r="H242" s="600"/>
      <c r="I242" s="601"/>
      <c r="J242" s="601"/>
      <c r="K242" s="598"/>
      <c r="L242" s="598" t="s">
        <v>495</v>
      </c>
      <c r="M242" s="602">
        <v>0</v>
      </c>
      <c r="N242" s="603"/>
      <c r="O242" s="600">
        <f>ROUND(H239*M242,0)</f>
        <v>0</v>
      </c>
      <c r="P242" s="600">
        <f>O240-O242</f>
        <v>1</v>
      </c>
      <c r="Q242" s="598"/>
      <c r="R242" s="598"/>
      <c r="S242" s="598"/>
      <c r="T242" s="600"/>
      <c r="U242" s="600">
        <f>ROUND(T239*M242,0)</f>
        <v>0</v>
      </c>
      <c r="V242" s="598"/>
    </row>
    <row r="243" spans="1:22" s="604" customFormat="1" ht="28.5" x14ac:dyDescent="0.45">
      <c r="A243" s="598"/>
      <c r="B243" s="598"/>
      <c r="C243" s="598"/>
      <c r="D243" s="598"/>
      <c r="E243" s="599"/>
      <c r="F243" s="603"/>
      <c r="G243" s="599"/>
      <c r="H243" s="600"/>
      <c r="I243" s="601"/>
      <c r="J243" s="601"/>
      <c r="K243" s="598"/>
      <c r="L243" s="598" t="s">
        <v>1000</v>
      </c>
      <c r="M243" s="602"/>
      <c r="N243" s="602"/>
      <c r="O243" s="602"/>
      <c r="P243" s="602"/>
      <c r="Q243" s="598"/>
      <c r="R243" s="598"/>
      <c r="S243" s="598"/>
      <c r="T243" s="600"/>
      <c r="U243" s="598"/>
      <c r="V243" s="598"/>
    </row>
    <row r="244" spans="1:22" s="604" customFormat="1" ht="285" x14ac:dyDescent="0.45">
      <c r="A244" s="598"/>
      <c r="B244" s="598" t="s">
        <v>398</v>
      </c>
      <c r="C244" s="598" t="s">
        <v>541</v>
      </c>
      <c r="D244" s="598" t="s">
        <v>902</v>
      </c>
      <c r="E244" s="599">
        <f>DGNBvægtning!I125+DGNBvægtning!I129</f>
        <v>3.6144578313253013E-3</v>
      </c>
      <c r="F244" s="600">
        <f>$F$166*G244</f>
        <v>0.7663061098175602</v>
      </c>
      <c r="G244" s="599">
        <f>E244/$E$166</f>
        <v>1.5326122196351204E-2</v>
      </c>
      <c r="H244" s="600">
        <v>1</v>
      </c>
      <c r="I244" s="601" t="s">
        <v>492</v>
      </c>
      <c r="J244" s="601"/>
      <c r="K244" s="598" t="s">
        <v>1002</v>
      </c>
      <c r="L244" s="598"/>
      <c r="M244" s="602"/>
      <c r="N244" s="602">
        <f>IF('Sortering af spørgsmål'!$C$18=Projektforudsætninger!$C$20,'Dialogpart 1'!$J$78,IF('Sortering af spørgsmål'!$C$18=Projektforudsætninger!$C$21,'Dialogpart 2'!$J$78,IF('Sortering af spørgsmål'!$C$18=Projektforudsætninger!$C$22,'Dialogpart 3'!$J$78,IF('Sortering af spørgsmål'!$C$18=Projektforudsætninger!$C$23,'Dialogpart 4'!$J$78,IF('Sortering af spørgsmål'!$C$18=Projektforudsætninger!$C$24,'Dialogpart 5'!$J$78,IF('Sortering af spørgsmål'!$C$18=Projektforudsætninger!$C$25,'Dialogpart 6'!$J$78,IF('Sortering af spørgsmål'!$C$18=Projektforudsætninger!$C$22,'Dialogpart 7'!$J$78,IF('Sortering af spørgsmål'!$C$18=Projektforudsætninger!$C$23,#REF!,IF('Sortering af spørgsmål'!$C$18=Projektforudsætninger!$C$24,#REF!,IF('Sortering af spørgsmål'!$C$18=Projektforudsætninger!$C$25,#REF!,0))))))))))</f>
        <v>0</v>
      </c>
      <c r="O244" s="602"/>
      <c r="P244" s="602"/>
      <c r="Q244" s="598"/>
      <c r="R244" s="599">
        <f>'Sortering af spørgsmål'!$E$18*(Arbejdsark!E244/SUM($E$239:$E$244))</f>
        <v>1.7543859649122806E-2</v>
      </c>
      <c r="S244" s="599">
        <f>R244/$R$166</f>
        <v>4.3859649122807001E-2</v>
      </c>
      <c r="T244" s="600">
        <f>$T$166*S244</f>
        <v>2.1929824561403501</v>
      </c>
      <c r="U244" s="598"/>
      <c r="V244" s="598"/>
    </row>
    <row r="245" spans="1:22" s="604" customFormat="1" x14ac:dyDescent="0.45">
      <c r="A245" s="598"/>
      <c r="B245" s="598"/>
      <c r="C245" s="598"/>
      <c r="D245" s="598"/>
      <c r="E245" s="599"/>
      <c r="F245" s="603"/>
      <c r="G245" s="599"/>
      <c r="H245" s="600"/>
      <c r="I245" s="601"/>
      <c r="J245" s="601"/>
      <c r="K245" s="598"/>
      <c r="L245" s="598" t="s">
        <v>498</v>
      </c>
      <c r="M245" s="602">
        <v>1</v>
      </c>
      <c r="N245" s="602"/>
      <c r="O245" s="600">
        <f>ROUND(H244*M245,0)</f>
        <v>1</v>
      </c>
      <c r="P245" s="600">
        <f>O245-O245</f>
        <v>0</v>
      </c>
      <c r="Q245" s="598"/>
      <c r="R245" s="598"/>
      <c r="S245" s="598"/>
      <c r="T245" s="600"/>
      <c r="U245" s="600">
        <f>ROUND(T244*M245,0)</f>
        <v>2</v>
      </c>
      <c r="V245" s="598"/>
    </row>
    <row r="246" spans="1:22" s="604" customFormat="1" x14ac:dyDescent="0.45">
      <c r="A246" s="598"/>
      <c r="B246" s="598"/>
      <c r="C246" s="598"/>
      <c r="D246" s="598"/>
      <c r="E246" s="599"/>
      <c r="F246" s="603"/>
      <c r="G246" s="599"/>
      <c r="H246" s="600"/>
      <c r="I246" s="601"/>
      <c r="J246" s="601"/>
      <c r="K246" s="598"/>
      <c r="L246" s="598" t="s">
        <v>499</v>
      </c>
      <c r="M246" s="602">
        <v>0.5</v>
      </c>
      <c r="N246" s="602"/>
      <c r="O246" s="600">
        <f>ROUND(H244*M246,0)</f>
        <v>1</v>
      </c>
      <c r="P246" s="600">
        <f>O245-O246</f>
        <v>0</v>
      </c>
      <c r="Q246" s="598"/>
      <c r="R246" s="598"/>
      <c r="S246" s="598"/>
      <c r="T246" s="600"/>
      <c r="U246" s="600">
        <f>ROUND(T244*M246,0)</f>
        <v>1</v>
      </c>
      <c r="V246" s="598"/>
    </row>
    <row r="247" spans="1:22" s="604" customFormat="1" x14ac:dyDescent="0.45">
      <c r="A247" s="598"/>
      <c r="B247" s="598"/>
      <c r="C247" s="598"/>
      <c r="D247" s="598"/>
      <c r="E247" s="599"/>
      <c r="F247" s="603"/>
      <c r="G247" s="599"/>
      <c r="H247" s="600"/>
      <c r="I247" s="601"/>
      <c r="J247" s="601"/>
      <c r="K247" s="598"/>
      <c r="L247" s="598" t="s">
        <v>495</v>
      </c>
      <c r="M247" s="602">
        <v>0</v>
      </c>
      <c r="N247" s="602"/>
      <c r="O247" s="600">
        <f>ROUND(H244*M247,0)</f>
        <v>0</v>
      </c>
      <c r="P247" s="600">
        <f>O245-O247</f>
        <v>1</v>
      </c>
      <c r="Q247" s="598"/>
      <c r="R247" s="598"/>
      <c r="S247" s="598"/>
      <c r="T247" s="600"/>
      <c r="U247" s="600">
        <f>ROUND(T244*M247,0)</f>
        <v>0</v>
      </c>
      <c r="V247" s="598"/>
    </row>
    <row r="248" spans="1:22" s="604" customFormat="1" x14ac:dyDescent="0.45">
      <c r="A248" s="598"/>
      <c r="B248" s="598"/>
      <c r="C248" s="598"/>
      <c r="D248" s="598"/>
      <c r="E248" s="599"/>
      <c r="F248" s="603"/>
      <c r="G248" s="599"/>
      <c r="H248" s="600"/>
      <c r="I248" s="601"/>
      <c r="J248" s="601"/>
      <c r="K248" s="598"/>
      <c r="L248" s="598" t="s">
        <v>656</v>
      </c>
      <c r="M248" s="602"/>
      <c r="N248" s="602"/>
      <c r="O248" s="602"/>
      <c r="P248" s="602"/>
      <c r="Q248" s="598"/>
      <c r="R248" s="598"/>
      <c r="S248" s="598"/>
      <c r="T248" s="600"/>
      <c r="U248" s="598"/>
      <c r="V248" s="598"/>
    </row>
    <row r="249" spans="1:22" s="604" customFormat="1" x14ac:dyDescent="0.45">
      <c r="A249" s="598"/>
      <c r="B249" s="598"/>
      <c r="C249" s="598"/>
      <c r="D249" s="598"/>
      <c r="E249" s="599"/>
      <c r="F249" s="603"/>
      <c r="G249" s="599"/>
      <c r="H249" s="600"/>
      <c r="I249" s="601"/>
      <c r="J249" s="601"/>
      <c r="K249" s="598"/>
      <c r="L249" s="598"/>
      <c r="M249" s="602"/>
      <c r="N249" s="602"/>
      <c r="O249" s="602"/>
      <c r="P249" s="602"/>
      <c r="Q249" s="598"/>
      <c r="R249" s="598"/>
      <c r="S249" s="598"/>
      <c r="T249" s="600"/>
      <c r="U249" s="598"/>
      <c r="V249" s="598"/>
    </row>
    <row r="250" spans="1:22" s="604" customFormat="1" ht="199.5" x14ac:dyDescent="0.45">
      <c r="A250" s="598" t="s">
        <v>542</v>
      </c>
      <c r="B250" s="598" t="s">
        <v>732</v>
      </c>
      <c r="C250" s="598" t="s">
        <v>687</v>
      </c>
      <c r="D250" s="598" t="s">
        <v>881</v>
      </c>
      <c r="E250" s="599">
        <f>DGNBvægtning!I135</f>
        <v>2.7108433734939759E-3</v>
      </c>
      <c r="F250" s="600">
        <f>$F$166*G250</f>
        <v>0.57472958236317018</v>
      </c>
      <c r="G250" s="599">
        <f>E250/$E$166</f>
        <v>1.1494591647263403E-2</v>
      </c>
      <c r="H250" s="600">
        <v>1</v>
      </c>
      <c r="I250" s="601" t="s">
        <v>492</v>
      </c>
      <c r="J250" s="601"/>
      <c r="K250" s="598" t="s">
        <v>1004</v>
      </c>
      <c r="L250" s="598"/>
      <c r="M250" s="602"/>
      <c r="N250" s="602">
        <f>IF('Sortering af spørgsmål'!$C$19=Projektforudsætninger!$C$20,'Dialogpart 1'!$J$81,IF('Sortering af spørgsmål'!$C$19=Projektforudsætninger!$C$21,'Dialogpart 2'!$J$81,IF('Sortering af spørgsmål'!$C$19=Projektforudsætninger!$C$22,'Dialogpart 3'!$J$81,IF('Sortering af spørgsmål'!$C$19=Projektforudsætninger!$C$23,'Dialogpart 4'!$J$81,IF('Sortering af spørgsmål'!$C$19=Projektforudsætninger!$C$24,'Dialogpart 5'!$J$81,IF('Sortering af spørgsmål'!$C$19=Projektforudsætninger!$C$25,'Dialogpart 6'!$J$81,IF('Sortering af spørgsmål'!$C$19=Projektforudsætninger!$C$22,'Dialogpart 7'!$J$81,IF('Sortering af spørgsmål'!$C$19=Projektforudsætninger!$C$23,#REF!,IF('Sortering af spørgsmål'!$C$19=Projektforudsætninger!$C$24,#REF!,IF('Sortering af spørgsmål'!$C$19=Projektforudsætninger!$C$25,#REF!,0))))))))))</f>
        <v>0</v>
      </c>
      <c r="O250" s="602"/>
      <c r="P250" s="602"/>
      <c r="Q250" s="598"/>
      <c r="R250" s="599">
        <f>'Sortering af spørgsmål'!$E$19*(Arbejdsark!E250/SUM($E$250:$E$264))</f>
        <v>1.4999999999999999E-2</v>
      </c>
      <c r="S250" s="599">
        <f>R250/$R$166</f>
        <v>3.7499999999999985E-2</v>
      </c>
      <c r="T250" s="600">
        <f>$T$166*S250</f>
        <v>1.8749999999999993</v>
      </c>
      <c r="U250" s="598"/>
      <c r="V250" s="598"/>
    </row>
    <row r="251" spans="1:22" s="604" customFormat="1" x14ac:dyDescent="0.45">
      <c r="A251" s="598"/>
      <c r="B251" s="598"/>
      <c r="C251" s="598"/>
      <c r="D251" s="598"/>
      <c r="E251" s="599"/>
      <c r="F251" s="603"/>
      <c r="G251" s="599"/>
      <c r="H251" s="600"/>
      <c r="I251" s="601"/>
      <c r="J251" s="601"/>
      <c r="K251" s="598"/>
      <c r="L251" s="598" t="s">
        <v>498</v>
      </c>
      <c r="M251" s="602">
        <v>1</v>
      </c>
      <c r="N251" s="602"/>
      <c r="O251" s="600">
        <f>ROUND(H250*M251,0)</f>
        <v>1</v>
      </c>
      <c r="P251" s="600">
        <f>O251-O251</f>
        <v>0</v>
      </c>
      <c r="Q251" s="598"/>
      <c r="R251" s="598"/>
      <c r="S251" s="598"/>
      <c r="T251" s="600"/>
      <c r="U251" s="600">
        <f>ROUND(T250*M251,0)</f>
        <v>2</v>
      </c>
      <c r="V251" s="598"/>
    </row>
    <row r="252" spans="1:22" s="604" customFormat="1" x14ac:dyDescent="0.45">
      <c r="A252" s="598"/>
      <c r="B252" s="598"/>
      <c r="C252" s="598"/>
      <c r="D252" s="598"/>
      <c r="E252" s="599"/>
      <c r="F252" s="603"/>
      <c r="G252" s="599"/>
      <c r="H252" s="600"/>
      <c r="I252" s="601"/>
      <c r="J252" s="601"/>
      <c r="K252" s="598"/>
      <c r="L252" s="598" t="s">
        <v>499</v>
      </c>
      <c r="M252" s="602">
        <v>0.5</v>
      </c>
      <c r="N252" s="602"/>
      <c r="O252" s="600">
        <f>ROUND(H250*M252,0)</f>
        <v>1</v>
      </c>
      <c r="P252" s="600">
        <f>O251-O252</f>
        <v>0</v>
      </c>
      <c r="Q252" s="598"/>
      <c r="R252" s="598"/>
      <c r="S252" s="598"/>
      <c r="T252" s="600"/>
      <c r="U252" s="600">
        <f>ROUND(T250*M252,0)</f>
        <v>1</v>
      </c>
      <c r="V252" s="598"/>
    </row>
    <row r="253" spans="1:22" s="604" customFormat="1" x14ac:dyDescent="0.45">
      <c r="A253" s="598"/>
      <c r="B253" s="598"/>
      <c r="C253" s="598"/>
      <c r="D253" s="598"/>
      <c r="E253" s="599"/>
      <c r="F253" s="603"/>
      <c r="G253" s="599"/>
      <c r="H253" s="600"/>
      <c r="I253" s="601"/>
      <c r="J253" s="601"/>
      <c r="K253" s="598"/>
      <c r="L253" s="598" t="s">
        <v>495</v>
      </c>
      <c r="M253" s="602">
        <v>0</v>
      </c>
      <c r="N253" s="602"/>
      <c r="O253" s="600">
        <f>ROUND(H250*M253,0)</f>
        <v>0</v>
      </c>
      <c r="P253" s="600">
        <f>O251-O253</f>
        <v>1</v>
      </c>
      <c r="Q253" s="598"/>
      <c r="R253" s="598"/>
      <c r="S253" s="598"/>
      <c r="T253" s="600"/>
      <c r="U253" s="600">
        <f>ROUND(T250*M253,0)</f>
        <v>0</v>
      </c>
      <c r="V253" s="598"/>
    </row>
    <row r="254" spans="1:22" s="604" customFormat="1" x14ac:dyDescent="0.45">
      <c r="A254" s="598"/>
      <c r="B254" s="598"/>
      <c r="C254" s="598"/>
      <c r="D254" s="598"/>
      <c r="E254" s="599"/>
      <c r="F254" s="603"/>
      <c r="G254" s="599"/>
      <c r="H254" s="600"/>
      <c r="I254" s="601"/>
      <c r="J254" s="601"/>
      <c r="K254" s="598"/>
      <c r="L254" s="598"/>
      <c r="M254" s="602"/>
      <c r="N254" s="602"/>
      <c r="O254" s="602"/>
      <c r="P254" s="602"/>
      <c r="Q254" s="598"/>
      <c r="R254" s="598"/>
      <c r="S254" s="598"/>
      <c r="T254" s="600"/>
      <c r="U254" s="598"/>
      <c r="V254" s="598"/>
    </row>
    <row r="255" spans="1:22" s="604" customFormat="1" ht="213.75" x14ac:dyDescent="0.45">
      <c r="A255" s="598"/>
      <c r="B255" s="598" t="s">
        <v>738</v>
      </c>
      <c r="C255" s="751" t="s">
        <v>945</v>
      </c>
      <c r="D255" s="598" t="s">
        <v>688</v>
      </c>
      <c r="E255" s="599">
        <f>DGNBvægtning!I133+DGNBvægtning!I134</f>
        <v>2.7108433734939759E-3</v>
      </c>
      <c r="F255" s="600">
        <f>$F$166*G255</f>
        <v>0.57472958236317018</v>
      </c>
      <c r="G255" s="599">
        <f>E255/$E$166</f>
        <v>1.1494591647263403E-2</v>
      </c>
      <c r="H255" s="600">
        <v>1</v>
      </c>
      <c r="I255" s="601" t="s">
        <v>492</v>
      </c>
      <c r="J255" s="601"/>
      <c r="K255" s="598" t="s">
        <v>1005</v>
      </c>
      <c r="L255" s="598"/>
      <c r="M255" s="602"/>
      <c r="N255" s="602">
        <f>IF('Sortering af spørgsmål'!$C$19=Projektforudsætninger!$C$20,'Dialogpart 1'!$J$82,IF('Sortering af spørgsmål'!$C$19=Projektforudsætninger!$C$21,'Dialogpart 2'!$J$82,IF('Sortering af spørgsmål'!$C$19=Projektforudsætninger!$C$22,'Dialogpart 3'!$J$82,IF('Sortering af spørgsmål'!$C$19=Projektforudsætninger!$C$23,'Dialogpart 4'!$J$82,IF('Sortering af spørgsmål'!$C$19=Projektforudsætninger!$C$24,'Dialogpart 5'!$J$82,IF('Sortering af spørgsmål'!$C$19=Projektforudsætninger!$C$25,'Dialogpart 6'!$J$82,IF('Sortering af spørgsmål'!$C$19=Projektforudsætninger!$C$22,'Dialogpart 7'!$J$82,IF('Sortering af spørgsmål'!$C$19=Projektforudsætninger!$C$23,#REF!,IF('Sortering af spørgsmål'!$C$19=Projektforudsætninger!$C$24,#REF!,IF('Sortering af spørgsmål'!$C$19=Projektforudsætninger!$C$25,#REF!,0))))))))))</f>
        <v>0</v>
      </c>
      <c r="O255" s="602"/>
      <c r="P255" s="602"/>
      <c r="Q255" s="598"/>
      <c r="R255" s="599">
        <f>'Sortering af spørgsmål'!$E$19*(Arbejdsark!E255/SUM($E$250:$E$264))</f>
        <v>1.4999999999999999E-2</v>
      </c>
      <c r="S255" s="599">
        <f>R255/$R$166</f>
        <v>3.7499999999999985E-2</v>
      </c>
      <c r="T255" s="600">
        <f>$T$166*S255</f>
        <v>1.8749999999999993</v>
      </c>
      <c r="U255" s="598"/>
      <c r="V255" s="598"/>
    </row>
    <row r="256" spans="1:22" s="604" customFormat="1" x14ac:dyDescent="0.45">
      <c r="A256" s="598"/>
      <c r="B256" s="598"/>
      <c r="C256" s="598"/>
      <c r="D256" s="598"/>
      <c r="E256" s="599"/>
      <c r="F256" s="603"/>
      <c r="G256" s="599"/>
      <c r="H256" s="600"/>
      <c r="I256" s="601"/>
      <c r="J256" s="601"/>
      <c r="K256" s="598"/>
      <c r="L256" s="598" t="s">
        <v>498</v>
      </c>
      <c r="M256" s="602">
        <v>1</v>
      </c>
      <c r="N256" s="602"/>
      <c r="O256" s="600">
        <f>ROUND(H255*M256,0)</f>
        <v>1</v>
      </c>
      <c r="P256" s="600">
        <f>O256-O256</f>
        <v>0</v>
      </c>
      <c r="Q256" s="598"/>
      <c r="R256" s="598"/>
      <c r="S256" s="598"/>
      <c r="T256" s="600"/>
      <c r="U256" s="600">
        <f>ROUND(T255*M256,0)</f>
        <v>2</v>
      </c>
      <c r="V256" s="598"/>
    </row>
    <row r="257" spans="1:22" s="604" customFormat="1" x14ac:dyDescent="0.45">
      <c r="A257" s="598"/>
      <c r="B257" s="598"/>
      <c r="C257" s="598"/>
      <c r="D257" s="598"/>
      <c r="E257" s="599"/>
      <c r="F257" s="603"/>
      <c r="G257" s="599"/>
      <c r="H257" s="600"/>
      <c r="I257" s="601"/>
      <c r="J257" s="601"/>
      <c r="K257" s="598"/>
      <c r="L257" s="598" t="s">
        <v>499</v>
      </c>
      <c r="M257" s="602">
        <v>0.5</v>
      </c>
      <c r="N257" s="602"/>
      <c r="O257" s="600">
        <f>ROUND(H255*M257,0)</f>
        <v>1</v>
      </c>
      <c r="P257" s="600">
        <f>O256-O257</f>
        <v>0</v>
      </c>
      <c r="Q257" s="598"/>
      <c r="R257" s="598"/>
      <c r="S257" s="598"/>
      <c r="T257" s="600"/>
      <c r="U257" s="600">
        <f>ROUND(T255*M257,0)</f>
        <v>1</v>
      </c>
      <c r="V257" s="598"/>
    </row>
    <row r="258" spans="1:22" s="604" customFormat="1" x14ac:dyDescent="0.45">
      <c r="A258" s="598"/>
      <c r="B258" s="598"/>
      <c r="C258" s="598"/>
      <c r="D258" s="598"/>
      <c r="E258" s="599"/>
      <c r="F258" s="603"/>
      <c r="G258" s="599"/>
      <c r="H258" s="600"/>
      <c r="I258" s="601"/>
      <c r="J258" s="601"/>
      <c r="K258" s="598"/>
      <c r="L258" s="598" t="s">
        <v>495</v>
      </c>
      <c r="M258" s="602">
        <v>0</v>
      </c>
      <c r="N258" s="602"/>
      <c r="O258" s="600">
        <f>ROUND(H255*M258,0)</f>
        <v>0</v>
      </c>
      <c r="P258" s="600">
        <f>O256-O258</f>
        <v>1</v>
      </c>
      <c r="Q258" s="598"/>
      <c r="R258" s="598"/>
      <c r="S258" s="598"/>
      <c r="T258" s="600"/>
      <c r="U258" s="600">
        <f>ROUND(T255*M258,0)</f>
        <v>0</v>
      </c>
      <c r="V258" s="598"/>
    </row>
    <row r="259" spans="1:22" s="604" customFormat="1" x14ac:dyDescent="0.45">
      <c r="A259" s="598"/>
      <c r="B259" s="598"/>
      <c r="C259" s="598"/>
      <c r="D259" s="598"/>
      <c r="E259" s="599"/>
      <c r="F259" s="603"/>
      <c r="G259" s="599"/>
      <c r="H259" s="600"/>
      <c r="I259" s="601"/>
      <c r="J259" s="601"/>
      <c r="K259" s="598"/>
      <c r="L259" s="598"/>
      <c r="M259" s="602"/>
      <c r="N259" s="602"/>
      <c r="O259" s="602"/>
      <c r="P259" s="602"/>
      <c r="Q259" s="598"/>
      <c r="R259" s="598"/>
      <c r="S259" s="598"/>
      <c r="T259" s="600"/>
      <c r="U259" s="598"/>
      <c r="V259" s="598"/>
    </row>
    <row r="260" spans="1:22" s="604" customFormat="1" ht="228" x14ac:dyDescent="0.45">
      <c r="A260" s="598"/>
      <c r="B260" s="598" t="s">
        <v>739</v>
      </c>
      <c r="C260" s="751" t="s">
        <v>946</v>
      </c>
      <c r="D260" s="598" t="s">
        <v>880</v>
      </c>
      <c r="E260" s="599">
        <f>DGNBvægtning!I132</f>
        <v>3.6144578313253013E-3</v>
      </c>
      <c r="F260" s="600">
        <f>$F$166*G260</f>
        <v>0.7663061098175602</v>
      </c>
      <c r="G260" s="599">
        <f>E260/$E$166</f>
        <v>1.5326122196351204E-2</v>
      </c>
      <c r="H260" s="600">
        <v>1</v>
      </c>
      <c r="I260" s="601" t="s">
        <v>492</v>
      </c>
      <c r="J260" s="601"/>
      <c r="K260" s="598" t="s">
        <v>1006</v>
      </c>
      <c r="L260" s="598"/>
      <c r="M260" s="602"/>
      <c r="N260" s="602">
        <f>IF('Sortering af spørgsmål'!$C$19=Projektforudsætninger!$C$20,'Dialogpart 1'!$J$83,IF('Sortering af spørgsmål'!$C$19=Projektforudsætninger!$C$21,'Dialogpart 2'!$J$83,IF('Sortering af spørgsmål'!$C$19=Projektforudsætninger!$C$22,'Dialogpart 3'!$J$83,IF('Sortering af spørgsmål'!$C$19=Projektforudsætninger!$C$23,'Dialogpart 4'!$J$83,IF('Sortering af spørgsmål'!$C$19=Projektforudsætninger!$C$24,'Dialogpart 5'!$J$83,IF('Sortering af spørgsmål'!$C$19=Projektforudsætninger!$C$25,'Dialogpart 6'!$J$83,IF('Sortering af spørgsmål'!$C$19=Projektforudsætninger!$C$22,'Dialogpart 7'!$J$83,IF('Sortering af spørgsmål'!$C$19=Projektforudsætninger!$C$23,#REF!,IF('Sortering af spørgsmål'!$C$19=Projektforudsætninger!$C$24,#REF!,IF('Sortering af spørgsmål'!$C$19=Projektforudsætninger!$C$25,#REF!,0))))))))))</f>
        <v>0</v>
      </c>
      <c r="O260" s="602"/>
      <c r="P260" s="602"/>
      <c r="Q260" s="598"/>
      <c r="R260" s="599">
        <f>'Sortering af spørgsmål'!$E$19*(Arbejdsark!E260/SUM($E$250:$E$264))</f>
        <v>2.0000000000000004E-2</v>
      </c>
      <c r="S260" s="599">
        <f>R260/$R$166</f>
        <v>4.9999999999999996E-2</v>
      </c>
      <c r="T260" s="600">
        <f>$T$166*S260</f>
        <v>2.5</v>
      </c>
      <c r="U260" s="598"/>
      <c r="V260" s="598"/>
    </row>
    <row r="261" spans="1:22" s="604" customFormat="1" x14ac:dyDescent="0.45">
      <c r="A261" s="598"/>
      <c r="B261" s="598"/>
      <c r="C261" s="598"/>
      <c r="D261" s="598"/>
      <c r="E261" s="599"/>
      <c r="F261" s="603"/>
      <c r="G261" s="599"/>
      <c r="H261" s="600"/>
      <c r="I261" s="601"/>
      <c r="J261" s="601"/>
      <c r="K261" s="598"/>
      <c r="L261" s="598" t="s">
        <v>498</v>
      </c>
      <c r="M261" s="602">
        <v>1</v>
      </c>
      <c r="N261" s="602"/>
      <c r="O261" s="600">
        <f>ROUND(H260*M261,0)</f>
        <v>1</v>
      </c>
      <c r="P261" s="600">
        <f>O261-O261</f>
        <v>0</v>
      </c>
      <c r="Q261" s="598"/>
      <c r="R261" s="598"/>
      <c r="S261" s="598"/>
      <c r="T261" s="600"/>
      <c r="U261" s="600">
        <f>ROUND(T260*M261,0)</f>
        <v>3</v>
      </c>
      <c r="V261" s="598"/>
    </row>
    <row r="262" spans="1:22" s="604" customFormat="1" x14ac:dyDescent="0.45">
      <c r="A262" s="598"/>
      <c r="B262" s="598"/>
      <c r="C262" s="598"/>
      <c r="D262" s="598"/>
      <c r="E262" s="599"/>
      <c r="F262" s="603"/>
      <c r="G262" s="599"/>
      <c r="H262" s="600"/>
      <c r="I262" s="601"/>
      <c r="J262" s="601"/>
      <c r="K262" s="598"/>
      <c r="L262" s="598" t="s">
        <v>499</v>
      </c>
      <c r="M262" s="602">
        <v>0.7</v>
      </c>
      <c r="N262" s="602"/>
      <c r="O262" s="600">
        <f>ROUND(H260*M262,0)</f>
        <v>1</v>
      </c>
      <c r="P262" s="600">
        <f>O261-O262</f>
        <v>0</v>
      </c>
      <c r="Q262" s="598"/>
      <c r="R262" s="598"/>
      <c r="S262" s="598"/>
      <c r="T262" s="600"/>
      <c r="U262" s="600">
        <f>ROUND(T260*M262,0)</f>
        <v>2</v>
      </c>
      <c r="V262" s="598"/>
    </row>
    <row r="263" spans="1:22" s="604" customFormat="1" x14ac:dyDescent="0.45">
      <c r="A263" s="598"/>
      <c r="B263" s="598"/>
      <c r="C263" s="598"/>
      <c r="D263" s="598"/>
      <c r="E263" s="599"/>
      <c r="F263" s="603"/>
      <c r="G263" s="599"/>
      <c r="H263" s="600"/>
      <c r="I263" s="601"/>
      <c r="J263" s="601"/>
      <c r="K263" s="598"/>
      <c r="L263" s="598" t="s">
        <v>495</v>
      </c>
      <c r="M263" s="602">
        <v>0.2</v>
      </c>
      <c r="N263" s="602"/>
      <c r="O263" s="600">
        <f>ROUND(H260*M263,0)</f>
        <v>0</v>
      </c>
      <c r="P263" s="600">
        <f>O261-O263</f>
        <v>1</v>
      </c>
      <c r="Q263" s="598"/>
      <c r="R263" s="598"/>
      <c r="S263" s="598"/>
      <c r="T263" s="600"/>
      <c r="U263" s="600">
        <f>ROUND(T260*M263,0)</f>
        <v>1</v>
      </c>
      <c r="V263" s="598"/>
    </row>
    <row r="264" spans="1:22" s="604" customFormat="1" x14ac:dyDescent="0.45">
      <c r="A264" s="598"/>
      <c r="B264" s="598"/>
      <c r="C264" s="598"/>
      <c r="D264" s="598"/>
      <c r="E264" s="599"/>
      <c r="F264" s="603"/>
      <c r="G264" s="599"/>
      <c r="H264" s="600"/>
      <c r="I264" s="601"/>
      <c r="J264" s="601"/>
      <c r="K264" s="598"/>
      <c r="L264" s="750"/>
      <c r="M264" s="602"/>
      <c r="N264" s="602"/>
      <c r="O264" s="602"/>
      <c r="P264" s="602"/>
      <c r="Q264" s="598"/>
      <c r="R264" s="598"/>
      <c r="S264" s="598"/>
      <c r="T264" s="600"/>
      <c r="U264" s="598"/>
      <c r="V264" s="598"/>
    </row>
    <row r="265" spans="1:22" s="604" customFormat="1" ht="242.25" x14ac:dyDescent="0.45">
      <c r="A265" s="598" t="s">
        <v>330</v>
      </c>
      <c r="B265" s="598" t="s">
        <v>733</v>
      </c>
      <c r="C265" s="598" t="s">
        <v>547</v>
      </c>
      <c r="D265" s="598" t="s">
        <v>903</v>
      </c>
      <c r="E265" s="599">
        <f>DGNBvægtning!I126+DGNBvægtning!I127+DGNBvægtning!I128</f>
        <v>5.4216867469879517E-3</v>
      </c>
      <c r="F265" s="600">
        <f>$F$166*G265</f>
        <v>1.1494591647263404</v>
      </c>
      <c r="G265" s="599">
        <f>E265/$E$166</f>
        <v>2.2989183294526806E-2</v>
      </c>
      <c r="H265" s="600">
        <v>1</v>
      </c>
      <c r="I265" s="601" t="s">
        <v>492</v>
      </c>
      <c r="J265" s="601"/>
      <c r="K265" s="598" t="s">
        <v>1007</v>
      </c>
      <c r="L265" s="598"/>
      <c r="M265" s="602"/>
      <c r="N265" s="602">
        <f>IF('Sortering af spørgsmål'!$C$20=Projektforudsætninger!$C$20,'Dialogpart 1'!$J$86,IF('Sortering af spørgsmål'!$C$20=Projektforudsætninger!$C$21,'Dialogpart 2'!$J$86,IF('Sortering af spørgsmål'!$C$20=Projektforudsætninger!$C$22,'Dialogpart 3'!$J$86,IF('Sortering af spørgsmål'!$C$20=Projektforudsætninger!$C$23,'Dialogpart 4'!$J$86,IF('Sortering af spørgsmål'!$C$20=Projektforudsætninger!$C$24,'Dialogpart 5'!$J$86,IF('Sortering af spørgsmål'!$C$20=Projektforudsætninger!$C$25,'Dialogpart 6'!$J$86,IF('Sortering af spørgsmål'!$C$20=Projektforudsætninger!$C$22,'Dialogpart 7'!$J$86,IF('Sortering af spørgsmål'!$C$20=Projektforudsætninger!$C$23,#REF!,IF('Sortering af spørgsmål'!$C$20=Projektforudsætninger!$C$24,#REF!,IF('Sortering af spørgsmål'!$C$20=Projektforudsætninger!$C$25,#REF!,0))))))))))</f>
        <v>0</v>
      </c>
      <c r="O265" s="602"/>
      <c r="P265" s="602"/>
      <c r="Q265" s="598"/>
      <c r="R265" s="599">
        <f>'Sortering af spørgsmål'!$E$20*(Arbejdsark!E265/SUM($E$265:$E$278))</f>
        <v>2.422360248447205E-2</v>
      </c>
      <c r="S265" s="599">
        <f>R265/$R$166</f>
        <v>6.0559006211180107E-2</v>
      </c>
      <c r="T265" s="600">
        <f>$T$166*S265</f>
        <v>3.0279503105590053</v>
      </c>
      <c r="U265" s="598"/>
      <c r="V265" s="598"/>
    </row>
    <row r="266" spans="1:22" s="604" customFormat="1" x14ac:dyDescent="0.45">
      <c r="A266" s="598"/>
      <c r="B266" s="598"/>
      <c r="C266" s="598"/>
      <c r="D266" s="598"/>
      <c r="E266" s="599"/>
      <c r="F266" s="603"/>
      <c r="G266" s="599"/>
      <c r="H266" s="600"/>
      <c r="I266" s="601"/>
      <c r="J266" s="601"/>
      <c r="K266" s="598"/>
      <c r="L266" s="598" t="s">
        <v>498</v>
      </c>
      <c r="M266" s="602">
        <v>1</v>
      </c>
      <c r="N266" s="602"/>
      <c r="O266" s="600">
        <f>ROUND(H265*M266,0)</f>
        <v>1</v>
      </c>
      <c r="P266" s="600">
        <f>O266-O266</f>
        <v>0</v>
      </c>
      <c r="Q266" s="598"/>
      <c r="R266" s="598"/>
      <c r="S266" s="598"/>
      <c r="T266" s="600"/>
      <c r="U266" s="600">
        <f>ROUND(T265*M266,0)</f>
        <v>3</v>
      </c>
      <c r="V266" s="598"/>
    </row>
    <row r="267" spans="1:22" s="604" customFormat="1" x14ac:dyDescent="0.45">
      <c r="A267" s="598"/>
      <c r="B267" s="598"/>
      <c r="C267" s="598"/>
      <c r="D267" s="598"/>
      <c r="E267" s="599"/>
      <c r="F267" s="603"/>
      <c r="G267" s="599"/>
      <c r="H267" s="600"/>
      <c r="I267" s="601"/>
      <c r="J267" s="601"/>
      <c r="K267" s="598"/>
      <c r="L267" s="598" t="s">
        <v>499</v>
      </c>
      <c r="M267" s="602">
        <v>0.5</v>
      </c>
      <c r="N267" s="602"/>
      <c r="O267" s="600">
        <f>ROUND(H265*M267,0)</f>
        <v>1</v>
      </c>
      <c r="P267" s="600">
        <f>O266-O267</f>
        <v>0</v>
      </c>
      <c r="Q267" s="598"/>
      <c r="R267" s="598"/>
      <c r="S267" s="598"/>
      <c r="T267" s="600"/>
      <c r="U267" s="600">
        <f>ROUND(T265*M267,0)</f>
        <v>2</v>
      </c>
      <c r="V267" s="598"/>
    </row>
    <row r="268" spans="1:22" s="604" customFormat="1" x14ac:dyDescent="0.45">
      <c r="A268" s="598"/>
      <c r="B268" s="598"/>
      <c r="C268" s="598"/>
      <c r="D268" s="598"/>
      <c r="E268" s="599"/>
      <c r="F268" s="603"/>
      <c r="G268" s="599"/>
      <c r="H268" s="600"/>
      <c r="I268" s="601"/>
      <c r="J268" s="601"/>
      <c r="K268" s="598"/>
      <c r="L268" s="598" t="s">
        <v>495</v>
      </c>
      <c r="M268" s="602">
        <v>0</v>
      </c>
      <c r="N268" s="602"/>
      <c r="O268" s="600">
        <f>ROUND(H265*M268,0)</f>
        <v>0</v>
      </c>
      <c r="P268" s="600">
        <f>O266-O268</f>
        <v>1</v>
      </c>
      <c r="Q268" s="598"/>
      <c r="R268" s="598"/>
      <c r="S268" s="598"/>
      <c r="T268" s="600"/>
      <c r="U268" s="600">
        <f>ROUND(T265*M268,0)</f>
        <v>0</v>
      </c>
      <c r="V268" s="598"/>
    </row>
    <row r="269" spans="1:22" s="604" customFormat="1" x14ac:dyDescent="0.45">
      <c r="A269" s="598"/>
      <c r="B269" s="598"/>
      <c r="C269" s="598"/>
      <c r="D269" s="598"/>
      <c r="E269" s="599"/>
      <c r="F269" s="603"/>
      <c r="G269" s="599"/>
      <c r="H269" s="600"/>
      <c r="I269" s="601"/>
      <c r="J269" s="601"/>
      <c r="K269" s="598"/>
      <c r="L269" s="598"/>
      <c r="M269" s="602"/>
      <c r="N269" s="602"/>
      <c r="O269" s="602"/>
      <c r="P269" s="602"/>
      <c r="Q269" s="598"/>
      <c r="R269" s="598"/>
      <c r="S269" s="598"/>
      <c r="T269" s="600"/>
      <c r="U269" s="598"/>
      <c r="V269" s="598"/>
    </row>
    <row r="270" spans="1:22" s="604" customFormat="1" ht="270.75" x14ac:dyDescent="0.45">
      <c r="A270" s="598"/>
      <c r="B270" s="598" t="s">
        <v>734</v>
      </c>
      <c r="C270" s="598" t="s">
        <v>543</v>
      </c>
      <c r="D270" s="598" t="s">
        <v>882</v>
      </c>
      <c r="E270" s="599">
        <f>DGNBvægtning!I171</f>
        <v>5.7692307692307696E-3</v>
      </c>
      <c r="F270" s="600">
        <f>$F$166*G270</f>
        <v>1.2231424445164905</v>
      </c>
      <c r="G270" s="599">
        <f>E270/$E$166</f>
        <v>2.4462848890329809E-2</v>
      </c>
      <c r="H270" s="600">
        <v>1</v>
      </c>
      <c r="I270" s="601" t="s">
        <v>492</v>
      </c>
      <c r="J270" s="601"/>
      <c r="K270" s="751" t="s">
        <v>1008</v>
      </c>
      <c r="L270" s="598"/>
      <c r="M270" s="602"/>
      <c r="N270" s="602">
        <f>IF('Sortering af spørgsmål'!$C$20=Projektforudsætninger!$C$20,'Dialogpart 1'!$J$87,IF('Sortering af spørgsmål'!$C$20=Projektforudsætninger!$C$21,'Dialogpart 2'!$J$87,IF('Sortering af spørgsmål'!$C$20=Projektforudsætninger!$C$22,'Dialogpart 3'!$J$87,IF('Sortering af spørgsmål'!$C$20=Projektforudsætninger!$C$23,'Dialogpart 4'!$J$87,IF('Sortering af spørgsmål'!$C$20=Projektforudsætninger!$C$24,'Dialogpart 5'!$J$87,IF('Sortering af spørgsmål'!$C$20=Projektforudsætninger!$C$25,'Dialogpart 6'!$J$87,IF('Sortering af spørgsmål'!$C$20=Projektforudsætninger!$C$22,'Dialogpart 7'!$J$87,IF('Sortering af spørgsmål'!$C$20=Projektforudsætninger!$C$23,#REF!,IF('Sortering af spørgsmål'!$C$20=Projektforudsætninger!$C$24,#REF!,IF('Sortering af spørgsmål'!$C$20=Projektforudsætninger!$C$25,#REF!,0))))))))))</f>
        <v>0</v>
      </c>
      <c r="O270" s="602"/>
      <c r="P270" s="602"/>
      <c r="Q270" s="598"/>
      <c r="R270" s="599">
        <f>'Sortering af spørgsmål'!$E$20*(Arbejdsark!E270/SUM($E$265:$E$278))</f>
        <v>2.577639751552795E-2</v>
      </c>
      <c r="S270" s="599">
        <f>R270/$R$166</f>
        <v>6.4440993788819859E-2</v>
      </c>
      <c r="T270" s="600">
        <f>$T$166*S270</f>
        <v>3.2220496894409929</v>
      </c>
      <c r="U270" s="598"/>
      <c r="V270" s="598"/>
    </row>
    <row r="271" spans="1:22" s="604" customFormat="1" x14ac:dyDescent="0.45">
      <c r="A271" s="598"/>
      <c r="B271" s="598"/>
      <c r="C271" s="598"/>
      <c r="D271" s="598"/>
      <c r="E271" s="599"/>
      <c r="F271" s="603"/>
      <c r="G271" s="599"/>
      <c r="H271" s="600"/>
      <c r="I271" s="601"/>
      <c r="J271" s="601"/>
      <c r="K271" s="598"/>
      <c r="L271" s="598" t="s">
        <v>498</v>
      </c>
      <c r="M271" s="602">
        <v>1</v>
      </c>
      <c r="N271" s="602"/>
      <c r="O271" s="600">
        <f>ROUND(H270*M271,0)</f>
        <v>1</v>
      </c>
      <c r="P271" s="600">
        <f>O271-O271</f>
        <v>0</v>
      </c>
      <c r="Q271" s="598"/>
      <c r="R271" s="598"/>
      <c r="S271" s="598"/>
      <c r="T271" s="600"/>
      <c r="U271" s="600">
        <f>ROUND(T270*M271,0)</f>
        <v>3</v>
      </c>
      <c r="V271" s="598"/>
    </row>
    <row r="272" spans="1:22" s="604" customFormat="1" x14ac:dyDescent="0.45">
      <c r="A272" s="598"/>
      <c r="B272" s="598"/>
      <c r="C272" s="598"/>
      <c r="D272" s="598"/>
      <c r="E272" s="599"/>
      <c r="F272" s="603"/>
      <c r="G272" s="599"/>
      <c r="H272" s="600"/>
      <c r="I272" s="601"/>
      <c r="J272" s="601"/>
      <c r="K272" s="598"/>
      <c r="L272" s="598" t="s">
        <v>499</v>
      </c>
      <c r="M272" s="602">
        <v>0.6</v>
      </c>
      <c r="N272" s="602"/>
      <c r="O272" s="600">
        <f>ROUND(H270*M272,0)</f>
        <v>1</v>
      </c>
      <c r="P272" s="600">
        <f>O271-O272</f>
        <v>0</v>
      </c>
      <c r="Q272" s="598"/>
      <c r="R272" s="598"/>
      <c r="S272" s="598"/>
      <c r="T272" s="600"/>
      <c r="U272" s="600">
        <f>ROUND(T270*M272,0)</f>
        <v>2</v>
      </c>
      <c r="V272" s="598"/>
    </row>
    <row r="273" spans="1:22" s="604" customFormat="1" x14ac:dyDescent="0.45">
      <c r="A273" s="598"/>
      <c r="B273" s="598"/>
      <c r="C273" s="598"/>
      <c r="D273" s="598"/>
      <c r="E273" s="599"/>
      <c r="F273" s="603"/>
      <c r="G273" s="599"/>
      <c r="H273" s="600"/>
      <c r="I273" s="601"/>
      <c r="J273" s="601"/>
      <c r="K273" s="598"/>
      <c r="L273" s="598" t="s">
        <v>495</v>
      </c>
      <c r="M273" s="602">
        <v>0</v>
      </c>
      <c r="N273" s="602"/>
      <c r="O273" s="600">
        <f>ROUND(H270*M273,0)</f>
        <v>0</v>
      </c>
      <c r="P273" s="600">
        <f>O271-O273</f>
        <v>1</v>
      </c>
      <c r="Q273" s="598"/>
      <c r="R273" s="598"/>
      <c r="S273" s="598"/>
      <c r="T273" s="600"/>
      <c r="U273" s="600">
        <f>ROUND(T270*M273,0)</f>
        <v>0</v>
      </c>
      <c r="V273" s="598"/>
    </row>
    <row r="274" spans="1:22" s="604" customFormat="1" x14ac:dyDescent="0.45">
      <c r="A274" s="598"/>
      <c r="B274" s="598"/>
      <c r="C274" s="598"/>
      <c r="D274" s="598"/>
      <c r="E274" s="599"/>
      <c r="F274" s="603"/>
      <c r="G274" s="599"/>
      <c r="H274" s="600"/>
      <c r="I274" s="601"/>
      <c r="J274" s="601"/>
      <c r="K274" s="598"/>
      <c r="L274" s="750"/>
      <c r="M274" s="602"/>
      <c r="N274" s="602"/>
      <c r="O274" s="602"/>
      <c r="P274" s="602"/>
      <c r="Q274" s="598"/>
      <c r="R274" s="598"/>
      <c r="S274" s="598"/>
      <c r="T274" s="600"/>
      <c r="U274" s="598"/>
      <c r="V274" s="598"/>
    </row>
    <row r="275" spans="1:22" s="609" customFormat="1" ht="85.5" x14ac:dyDescent="0.45">
      <c r="A275" s="605"/>
      <c r="B275" s="605">
        <v>6</v>
      </c>
      <c r="C275" s="605" t="s">
        <v>883</v>
      </c>
      <c r="D275" s="723"/>
      <c r="E275" s="606"/>
      <c r="F275" s="610">
        <f>IF(E275&lt;0.0075,1*3,IF(E275&lt;0.0125,2*3,IF(E275&lt;0.0175,3*3,IF(E275&lt;0.0225,4*3,IF(E275&lt;0.0275,5*3,IF(E275&lt;0.0325,6*3,IF(E275&lt;0.0375,7*3,IF(E275&lt;0.0425,8*3,IF(E275&lt;0.0475,9*3,IF(E275&lt;0.0525,10*3,IF(E275&lt;0.0575,11*3,IF(E275&lt;0.0625,12*3,IF(E275&lt;0.0675,13*3,IF(E275&lt;0.0725,14*3,IF(0.0775,15*3,IF(0.0825,16*3))))))))))))))))</f>
        <v>3</v>
      </c>
      <c r="G275" s="606">
        <f>IF(F275&lt;=3,100%,IF(F275&lt;45,(83%+(F275-6)*((33%-83%)/(45-6))),IF(F275=45,33%)))</f>
        <v>1</v>
      </c>
      <c r="H275" s="608"/>
      <c r="I275" s="607"/>
      <c r="J275" s="607" t="s">
        <v>492</v>
      </c>
      <c r="K275" s="605" t="s">
        <v>544</v>
      </c>
      <c r="L275" s="605"/>
      <c r="M275" s="722"/>
      <c r="N275" s="722"/>
      <c r="O275" s="722"/>
      <c r="P275" s="722"/>
      <c r="Q275" s="605"/>
      <c r="R275" s="606">
        <f>'Sortering af spørgsmål'!$E$20*(Arbejdsark!E275/SUM($E$265:$E$278))</f>
        <v>0</v>
      </c>
      <c r="S275" s="606">
        <f>R275/$R$166</f>
        <v>0</v>
      </c>
      <c r="T275" s="608">
        <f>$T$166*S275</f>
        <v>0</v>
      </c>
      <c r="U275" s="605"/>
      <c r="V275" s="605"/>
    </row>
    <row r="276" spans="1:22" s="609" customFormat="1" ht="28.5" x14ac:dyDescent="0.45">
      <c r="A276" s="605"/>
      <c r="B276" s="605"/>
      <c r="C276" s="605"/>
      <c r="D276" s="723"/>
      <c r="E276" s="606"/>
      <c r="F276" s="610"/>
      <c r="G276" s="606"/>
      <c r="H276" s="608"/>
      <c r="I276" s="607"/>
      <c r="J276" s="607"/>
      <c r="K276" s="605"/>
      <c r="L276" s="605" t="s">
        <v>545</v>
      </c>
      <c r="M276" s="722">
        <v>0.5</v>
      </c>
      <c r="N276" s="722">
        <f>IF(Projektforudsætninger!C42="Ja",Arbejdsark!M276,0)</f>
        <v>0</v>
      </c>
      <c r="O276" s="722"/>
      <c r="P276" s="722"/>
      <c r="Q276" s="605"/>
      <c r="R276" s="605"/>
      <c r="S276" s="605"/>
      <c r="T276" s="608"/>
      <c r="U276" s="605"/>
      <c r="V276" s="605"/>
    </row>
    <row r="277" spans="1:22" s="609" customFormat="1" ht="42.75" x14ac:dyDescent="0.45">
      <c r="A277" s="605"/>
      <c r="B277" s="605"/>
      <c r="C277" s="605"/>
      <c r="D277" s="723"/>
      <c r="E277" s="606"/>
      <c r="F277" s="610"/>
      <c r="G277" s="606"/>
      <c r="H277" s="608"/>
      <c r="I277" s="607"/>
      <c r="J277" s="607"/>
      <c r="K277" s="605"/>
      <c r="L277" s="605" t="s">
        <v>546</v>
      </c>
      <c r="M277" s="722">
        <v>0.5</v>
      </c>
      <c r="N277" s="722">
        <f>IF(Projektforudsætninger!C43="Ja",Arbejdsark!M277,0)</f>
        <v>0</v>
      </c>
      <c r="O277" s="722"/>
      <c r="P277" s="722"/>
      <c r="Q277" s="605"/>
      <c r="R277" s="605"/>
      <c r="S277" s="605"/>
      <c r="T277" s="608"/>
      <c r="U277" s="605"/>
      <c r="V277" s="605"/>
    </row>
    <row r="278" spans="1:22" s="609" customFormat="1" x14ac:dyDescent="0.45">
      <c r="A278" s="605"/>
      <c r="B278" s="605"/>
      <c r="C278" s="605"/>
      <c r="D278" s="605"/>
      <c r="E278" s="606"/>
      <c r="F278" s="610"/>
      <c r="G278" s="606"/>
      <c r="H278" s="608"/>
      <c r="I278" s="607"/>
      <c r="J278" s="607"/>
      <c r="K278" s="605"/>
      <c r="L278" s="605"/>
      <c r="M278" s="722"/>
      <c r="N278" s="722"/>
      <c r="O278" s="722"/>
      <c r="P278" s="722"/>
      <c r="Q278" s="605"/>
      <c r="R278" s="605"/>
      <c r="S278" s="605"/>
      <c r="T278" s="608"/>
      <c r="U278" s="605"/>
      <c r="V278" s="605"/>
    </row>
    <row r="279" spans="1:22" s="609" customFormat="1" ht="85.5" x14ac:dyDescent="0.45">
      <c r="A279" s="605" t="s">
        <v>548</v>
      </c>
      <c r="B279" s="605">
        <v>7</v>
      </c>
      <c r="C279" s="605" t="s">
        <v>549</v>
      </c>
      <c r="D279" s="605" t="s">
        <v>921</v>
      </c>
      <c r="E279" s="606">
        <f>DGNBvægtning!G136</f>
        <v>2.710843373493976E-2</v>
      </c>
      <c r="F279" s="610"/>
      <c r="G279" s="606"/>
      <c r="H279" s="608"/>
      <c r="I279" s="607"/>
      <c r="J279" s="607" t="s">
        <v>492</v>
      </c>
      <c r="K279" s="605" t="s">
        <v>689</v>
      </c>
      <c r="L279" s="605">
        <v>1</v>
      </c>
      <c r="M279" s="722"/>
      <c r="N279" s="722" t="str">
        <f>Projektforudsætninger!C40</f>
        <v>Vælg fra rullemenu</v>
      </c>
      <c r="O279" s="722"/>
      <c r="P279" s="722"/>
      <c r="Q279" s="605"/>
      <c r="R279" s="606"/>
      <c r="S279" s="606"/>
      <c r="T279" s="608"/>
      <c r="U279" s="605"/>
      <c r="V279" s="605"/>
    </row>
    <row r="280" spans="1:22" s="609" customFormat="1" x14ac:dyDescent="0.45">
      <c r="A280" s="605"/>
      <c r="B280" s="605"/>
      <c r="C280" s="605"/>
      <c r="D280" s="605"/>
      <c r="E280" s="606"/>
      <c r="F280" s="610"/>
      <c r="G280" s="606"/>
      <c r="H280" s="608"/>
      <c r="I280" s="607"/>
      <c r="J280" s="607"/>
      <c r="K280" s="605"/>
      <c r="L280" s="605" t="s">
        <v>51</v>
      </c>
      <c r="M280" s="722">
        <f>20/50</f>
        <v>0.4</v>
      </c>
      <c r="N280" s="722"/>
      <c r="O280" s="608"/>
      <c r="P280" s="608"/>
      <c r="Q280" s="605"/>
      <c r="R280" s="605"/>
      <c r="S280" s="605"/>
      <c r="T280" s="608"/>
      <c r="U280" s="605"/>
      <c r="V280" s="605"/>
    </row>
    <row r="281" spans="1:22" s="609" customFormat="1" x14ac:dyDescent="0.45">
      <c r="A281" s="605"/>
      <c r="B281" s="605"/>
      <c r="C281" s="605"/>
      <c r="D281" s="605"/>
      <c r="E281" s="606"/>
      <c r="F281" s="610"/>
      <c r="G281" s="606"/>
      <c r="H281" s="608"/>
      <c r="I281" s="607"/>
      <c r="J281" s="607"/>
      <c r="K281" s="605"/>
      <c r="L281" s="605" t="s">
        <v>176</v>
      </c>
      <c r="M281" s="722">
        <f>20/50</f>
        <v>0.4</v>
      </c>
      <c r="N281" s="722"/>
      <c r="O281" s="608"/>
      <c r="P281" s="608"/>
      <c r="Q281" s="605"/>
      <c r="R281" s="605"/>
      <c r="S281" s="605"/>
      <c r="T281" s="608"/>
      <c r="U281" s="605"/>
      <c r="V281" s="605"/>
    </row>
    <row r="282" spans="1:22" s="609" customFormat="1" ht="28.5" x14ac:dyDescent="0.45">
      <c r="A282" s="605"/>
      <c r="B282" s="605"/>
      <c r="C282" s="605"/>
      <c r="D282" s="605"/>
      <c r="E282" s="606"/>
      <c r="F282" s="610"/>
      <c r="G282" s="606"/>
      <c r="H282" s="608"/>
      <c r="I282" s="607"/>
      <c r="J282" s="607"/>
      <c r="K282" s="605"/>
      <c r="L282" s="605" t="s">
        <v>661</v>
      </c>
      <c r="M282" s="722">
        <v>1</v>
      </c>
      <c r="N282" s="722"/>
      <c r="O282" s="608"/>
      <c r="P282" s="608"/>
      <c r="Q282" s="605"/>
      <c r="R282" s="605"/>
      <c r="S282" s="605"/>
      <c r="T282" s="608"/>
      <c r="U282" s="605"/>
      <c r="V282" s="605"/>
    </row>
    <row r="283" spans="1:22" s="609" customFormat="1" ht="28.5" x14ac:dyDescent="0.45">
      <c r="A283" s="605"/>
      <c r="B283" s="605"/>
      <c r="C283" s="605"/>
      <c r="D283" s="605"/>
      <c r="E283" s="606"/>
      <c r="F283" s="610"/>
      <c r="G283" s="606"/>
      <c r="H283" s="608"/>
      <c r="I283" s="607"/>
      <c r="J283" s="607"/>
      <c r="K283" s="605"/>
      <c r="L283" s="605" t="s">
        <v>662</v>
      </c>
      <c r="M283" s="722">
        <f>10/50</f>
        <v>0.2</v>
      </c>
      <c r="N283" s="722"/>
      <c r="O283" s="608"/>
      <c r="P283" s="608"/>
      <c r="Q283" s="605"/>
      <c r="R283" s="605"/>
      <c r="S283" s="605"/>
      <c r="T283" s="608"/>
      <c r="U283" s="605"/>
      <c r="V283" s="605"/>
    </row>
    <row r="284" spans="1:22" s="609" customFormat="1" x14ac:dyDescent="0.45">
      <c r="A284" s="605"/>
      <c r="B284" s="605"/>
      <c r="C284" s="605"/>
      <c r="D284" s="605"/>
      <c r="E284" s="606"/>
      <c r="F284" s="610"/>
      <c r="G284" s="606"/>
      <c r="H284" s="608"/>
      <c r="I284" s="607"/>
      <c r="J284" s="607"/>
      <c r="K284" s="605"/>
      <c r="L284" s="605"/>
      <c r="M284" s="722"/>
      <c r="N284" s="722"/>
      <c r="O284" s="722"/>
      <c r="P284" s="722"/>
      <c r="Q284" s="605"/>
      <c r="R284" s="605"/>
      <c r="S284" s="605"/>
      <c r="T284" s="608"/>
      <c r="U284" s="605"/>
      <c r="V284" s="605"/>
    </row>
    <row r="285" spans="1:22" s="609" customFormat="1" ht="85.5" x14ac:dyDescent="0.45">
      <c r="A285" s="605"/>
      <c r="B285" s="605">
        <f>$B$279</f>
        <v>7</v>
      </c>
      <c r="C285" s="605"/>
      <c r="D285" s="723" t="s">
        <v>550</v>
      </c>
      <c r="E285" s="606">
        <f>DGNBvægtning!I138</f>
        <v>1.0843373493975905E-2</v>
      </c>
      <c r="F285" s="610"/>
      <c r="G285" s="606"/>
      <c r="H285" s="608"/>
      <c r="I285" s="607"/>
      <c r="J285" s="607" t="s">
        <v>492</v>
      </c>
      <c r="K285" s="605" t="s">
        <v>690</v>
      </c>
      <c r="L285" s="605"/>
      <c r="M285" s="722"/>
      <c r="N285" s="610">
        <f>IF(N279=L280,Projektforudsætninger!C41,0)</f>
        <v>0</v>
      </c>
      <c r="O285" s="610"/>
      <c r="P285" s="610"/>
      <c r="Q285" s="605"/>
      <c r="R285" s="606"/>
      <c r="S285" s="606"/>
      <c r="T285" s="608"/>
      <c r="U285" s="605"/>
      <c r="V285" s="605"/>
    </row>
    <row r="286" spans="1:22" s="609" customFormat="1" x14ac:dyDescent="0.45">
      <c r="A286" s="605"/>
      <c r="B286" s="605"/>
      <c r="C286" s="605"/>
      <c r="D286" s="605"/>
      <c r="E286" s="606"/>
      <c r="F286" s="610"/>
      <c r="G286" s="606"/>
      <c r="H286" s="608"/>
      <c r="I286" s="607"/>
      <c r="J286" s="607"/>
      <c r="K286" s="605"/>
      <c r="L286" s="605" t="s">
        <v>58</v>
      </c>
      <c r="M286" s="722">
        <v>1</v>
      </c>
      <c r="N286" s="722"/>
      <c r="O286" s="608"/>
      <c r="P286" s="608"/>
      <c r="Q286" s="605"/>
      <c r="R286" s="605"/>
      <c r="S286" s="605"/>
      <c r="T286" s="608"/>
      <c r="U286" s="605"/>
      <c r="V286" s="605"/>
    </row>
    <row r="287" spans="1:22" s="609" customFormat="1" x14ac:dyDescent="0.45">
      <c r="A287" s="605"/>
      <c r="B287" s="605"/>
      <c r="C287" s="605"/>
      <c r="D287" s="605"/>
      <c r="E287" s="606"/>
      <c r="F287" s="610"/>
      <c r="G287" s="606"/>
      <c r="H287" s="608"/>
      <c r="I287" s="607"/>
      <c r="J287" s="607"/>
      <c r="K287" s="605"/>
      <c r="L287" s="605" t="s">
        <v>60</v>
      </c>
      <c r="M287" s="722">
        <v>0.5</v>
      </c>
      <c r="N287" s="722"/>
      <c r="O287" s="608"/>
      <c r="P287" s="608"/>
      <c r="Q287" s="605"/>
      <c r="R287" s="605"/>
      <c r="S287" s="605"/>
      <c r="T287" s="608"/>
      <c r="U287" s="605"/>
      <c r="V287" s="605"/>
    </row>
    <row r="288" spans="1:22" s="609" customFormat="1" x14ac:dyDescent="0.45">
      <c r="A288" s="605"/>
      <c r="B288" s="605"/>
      <c r="C288" s="605"/>
      <c r="D288" s="605"/>
      <c r="E288" s="606"/>
      <c r="F288" s="610"/>
      <c r="G288" s="606"/>
      <c r="H288" s="608"/>
      <c r="I288" s="607"/>
      <c r="J288" s="607"/>
      <c r="K288" s="605"/>
      <c r="L288" s="605"/>
      <c r="M288" s="722"/>
      <c r="N288" s="722"/>
      <c r="O288" s="608"/>
      <c r="P288" s="608"/>
      <c r="Q288" s="605"/>
      <c r="R288" s="605"/>
      <c r="S288" s="605"/>
      <c r="T288" s="608"/>
      <c r="U288" s="605"/>
      <c r="V288" s="605"/>
    </row>
    <row r="289" spans="1:22" s="604" customFormat="1" ht="171" x14ac:dyDescent="0.45">
      <c r="A289" s="743" t="s">
        <v>548</v>
      </c>
      <c r="B289" s="598" t="s">
        <v>276</v>
      </c>
      <c r="C289" s="598" t="s">
        <v>691</v>
      </c>
      <c r="D289" s="598" t="s">
        <v>693</v>
      </c>
      <c r="E289" s="599">
        <f>DGNBvægtning!I143</f>
        <v>1.0843373493975905E-2</v>
      </c>
      <c r="F289" s="600">
        <f>$F$166*G289</f>
        <v>2.2989183294526807</v>
      </c>
      <c r="G289" s="599">
        <f>E289/$E$166</f>
        <v>4.5978366589053618E-2</v>
      </c>
      <c r="H289" s="600">
        <v>1</v>
      </c>
      <c r="I289" s="601" t="s">
        <v>492</v>
      </c>
      <c r="J289" s="601"/>
      <c r="K289" s="598" t="s">
        <v>1009</v>
      </c>
      <c r="L289" s="598"/>
      <c r="M289" s="602"/>
      <c r="N289" s="603">
        <f>IF('Sortering af spørgsmål'!$C$21=Projektforudsætninger!$C$20,'Dialogpart 1'!$J$90,IF('Sortering af spørgsmål'!$C$21=Projektforudsætninger!$C$21,'Dialogpart 2'!$J$90,IF('Sortering af spørgsmål'!$C$21=Projektforudsætninger!$C$22,'Dialogpart 3'!$J$90,IF('Sortering af spørgsmål'!$C$21=Projektforudsætninger!$C$23,'Dialogpart 4'!$J$90,IF('Sortering af spørgsmål'!$C$21=Projektforudsætninger!$C$24,'Dialogpart 5'!$J$90,IF('Sortering af spørgsmål'!$C$21=Projektforudsætninger!$C$25,'Dialogpart 6'!$J$90,IF('Sortering af spørgsmål'!$C$21=Projektforudsætninger!$C$22,'Dialogpart 7'!$J$90,IF('Sortering af spørgsmål'!$C$21=Projektforudsætninger!$C$23,#REF!,IF('Sortering af spørgsmål'!$C$21=Projektforudsætninger!$C$24,#REF!,IF('Sortering af spørgsmål'!$C$21=Projektforudsætninger!$C$25,#REF!,0))))))))))</f>
        <v>0</v>
      </c>
      <c r="O289" s="603"/>
      <c r="P289" s="603"/>
      <c r="Q289" s="598"/>
      <c r="R289" s="599">
        <f>'Sortering af spørgsmål'!$E$21*(Arbejdsark!E289/($M$280*$E$279+$E$285))</f>
        <v>2.5000000000000001E-2</v>
      </c>
      <c r="S289" s="599">
        <f>R289/$R$166</f>
        <v>6.2499999999999986E-2</v>
      </c>
      <c r="T289" s="600">
        <f>$T$166*S289</f>
        <v>3.1249999999999991</v>
      </c>
      <c r="U289" s="598"/>
      <c r="V289" s="598"/>
    </row>
    <row r="290" spans="1:22" s="604" customFormat="1" x14ac:dyDescent="0.45">
      <c r="A290" s="598"/>
      <c r="B290" s="598"/>
      <c r="C290" s="598"/>
      <c r="D290" s="598"/>
      <c r="E290" s="599"/>
      <c r="F290" s="603"/>
      <c r="G290" s="599"/>
      <c r="H290" s="600"/>
      <c r="I290" s="601"/>
      <c r="J290" s="601"/>
      <c r="K290" s="598"/>
      <c r="L290" s="598" t="s">
        <v>498</v>
      </c>
      <c r="M290" s="602">
        <v>1</v>
      </c>
      <c r="N290" s="603"/>
      <c r="O290" s="600">
        <f>ROUND(H289*M290,0)</f>
        <v>1</v>
      </c>
      <c r="P290" s="600">
        <f>O290-O290</f>
        <v>0</v>
      </c>
      <c r="Q290" s="598"/>
      <c r="R290" s="598"/>
      <c r="S290" s="598"/>
      <c r="T290" s="600"/>
      <c r="U290" s="600">
        <f>ROUND(T289*M290,0)</f>
        <v>3</v>
      </c>
      <c r="V290" s="598"/>
    </row>
    <row r="291" spans="1:22" s="604" customFormat="1" x14ac:dyDescent="0.45">
      <c r="A291" s="598"/>
      <c r="B291" s="598"/>
      <c r="C291" s="598"/>
      <c r="D291" s="598"/>
      <c r="E291" s="599"/>
      <c r="F291" s="603"/>
      <c r="G291" s="599"/>
      <c r="H291" s="600"/>
      <c r="I291" s="601"/>
      <c r="J291" s="601"/>
      <c r="K291" s="598"/>
      <c r="L291" s="598" t="s">
        <v>499</v>
      </c>
      <c r="M291" s="602">
        <v>0.25</v>
      </c>
      <c r="N291" s="603"/>
      <c r="O291" s="600">
        <f>ROUND(H289*M291,0)</f>
        <v>0</v>
      </c>
      <c r="P291" s="600">
        <f>O290-O291</f>
        <v>1</v>
      </c>
      <c r="Q291" s="598"/>
      <c r="R291" s="598"/>
      <c r="S291" s="598"/>
      <c r="T291" s="600"/>
      <c r="U291" s="600">
        <f>ROUND(T289*M291,0)</f>
        <v>1</v>
      </c>
      <c r="V291" s="598"/>
    </row>
    <row r="292" spans="1:22" s="604" customFormat="1" x14ac:dyDescent="0.45">
      <c r="A292" s="598"/>
      <c r="B292" s="598"/>
      <c r="C292" s="598"/>
      <c r="D292" s="598"/>
      <c r="E292" s="599"/>
      <c r="F292" s="603"/>
      <c r="G292" s="599"/>
      <c r="H292" s="600"/>
      <c r="I292" s="601"/>
      <c r="J292" s="601"/>
      <c r="K292" s="598"/>
      <c r="L292" s="598" t="s">
        <v>495</v>
      </c>
      <c r="M292" s="602">
        <v>0</v>
      </c>
      <c r="N292" s="603"/>
      <c r="O292" s="600">
        <f>ROUND(H289*M292,0)</f>
        <v>0</v>
      </c>
      <c r="P292" s="600">
        <f>O290-O292</f>
        <v>1</v>
      </c>
      <c r="Q292" s="598"/>
      <c r="R292" s="598"/>
      <c r="S292" s="598"/>
      <c r="T292" s="600"/>
      <c r="U292" s="600">
        <f>ROUND(T289*M292,0)</f>
        <v>0</v>
      </c>
      <c r="V292" s="598"/>
    </row>
    <row r="293" spans="1:22" s="604" customFormat="1" x14ac:dyDescent="0.45">
      <c r="A293" s="598"/>
      <c r="B293" s="598"/>
      <c r="C293" s="598"/>
      <c r="D293" s="598"/>
      <c r="E293" s="599"/>
      <c r="F293" s="603"/>
      <c r="G293" s="599"/>
      <c r="H293" s="600"/>
      <c r="I293" s="601"/>
      <c r="J293" s="601"/>
      <c r="K293" s="598"/>
      <c r="L293" s="598"/>
      <c r="M293" s="602"/>
      <c r="N293" s="603"/>
      <c r="O293" s="600"/>
      <c r="P293" s="600"/>
      <c r="Q293" s="598"/>
      <c r="R293" s="598"/>
      <c r="S293" s="598"/>
      <c r="T293" s="600"/>
      <c r="U293" s="600"/>
      <c r="V293" s="598"/>
    </row>
    <row r="294" spans="1:22" s="604" customFormat="1" ht="171" x14ac:dyDescent="0.45">
      <c r="A294" s="598"/>
      <c r="B294" s="598" t="s">
        <v>277</v>
      </c>
      <c r="C294" s="598" t="s">
        <v>692</v>
      </c>
      <c r="D294" s="598" t="s">
        <v>701</v>
      </c>
      <c r="E294" s="599">
        <f>DGNBvægtning!I142</f>
        <v>1.0843373493975905E-2</v>
      </c>
      <c r="F294" s="600">
        <f>$F$166*G294</f>
        <v>2.2989183294526807</v>
      </c>
      <c r="G294" s="599">
        <f>E294/$E$166</f>
        <v>4.5978366589053618E-2</v>
      </c>
      <c r="H294" s="600">
        <v>1</v>
      </c>
      <c r="I294" s="601" t="s">
        <v>492</v>
      </c>
      <c r="J294" s="601"/>
      <c r="K294" s="598" t="s">
        <v>1010</v>
      </c>
      <c r="L294" s="598"/>
      <c r="M294" s="602"/>
      <c r="N294" s="603">
        <f>IF('Sortering af spørgsmål'!$C$21=Projektforudsætninger!$C$20,'Dialogpart 1'!$J$91,IF('Sortering af spørgsmål'!$C$21=Projektforudsætninger!$C$21,'Dialogpart 2'!$J$91,IF('Sortering af spørgsmål'!$C$21=Projektforudsætninger!$C$22,'Dialogpart 3'!$J$91,IF('Sortering af spørgsmål'!$C$21=Projektforudsætninger!$C$23,'Dialogpart 4'!$J$91,IF('Sortering af spørgsmål'!$C$21=Projektforudsætninger!$C$24,'Dialogpart 5'!$J$91,IF('Sortering af spørgsmål'!$C$21=Projektforudsætninger!$C$25,'Dialogpart 6'!$J$91,IF('Sortering af spørgsmål'!$C$21=Projektforudsætninger!$C$22,'Dialogpart 7'!$J$91,IF('Sortering af spørgsmål'!$C$21=Projektforudsætninger!$C$23,#REF!,IF('Sortering af spørgsmål'!$C$21=Projektforudsætninger!$C$24,#REF!,IF('Sortering af spørgsmål'!$C$21=Projektforudsætninger!$C$25,#REF!,0))))))))))</f>
        <v>0</v>
      </c>
      <c r="O294" s="603"/>
      <c r="P294" s="603"/>
      <c r="Q294" s="598"/>
      <c r="R294" s="599">
        <f>'Sortering af spørgsmål'!$E$21*(Arbejdsark!E294/($M$280*$E$279+$E$285))</f>
        <v>2.5000000000000001E-2</v>
      </c>
      <c r="S294" s="599">
        <f>R294/$R$166</f>
        <v>6.2499999999999986E-2</v>
      </c>
      <c r="T294" s="600">
        <f>$T$166*S294</f>
        <v>3.1249999999999991</v>
      </c>
      <c r="U294" s="598"/>
      <c r="V294" s="598"/>
    </row>
    <row r="295" spans="1:22" s="604" customFormat="1" x14ac:dyDescent="0.45">
      <c r="A295" s="598"/>
      <c r="B295" s="598"/>
      <c r="C295" s="598"/>
      <c r="D295" s="598"/>
      <c r="E295" s="599"/>
      <c r="F295" s="603"/>
      <c r="G295" s="599"/>
      <c r="H295" s="600"/>
      <c r="I295" s="601"/>
      <c r="J295" s="601"/>
      <c r="K295" s="598"/>
      <c r="L295" s="598" t="s">
        <v>498</v>
      </c>
      <c r="M295" s="602">
        <v>1</v>
      </c>
      <c r="N295" s="602"/>
      <c r="O295" s="600">
        <f>ROUND(H294*M295,0)</f>
        <v>1</v>
      </c>
      <c r="P295" s="600">
        <f>O295-O295</f>
        <v>0</v>
      </c>
      <c r="Q295" s="598"/>
      <c r="R295" s="598"/>
      <c r="S295" s="598"/>
      <c r="T295" s="600"/>
      <c r="U295" s="600">
        <f>ROUND(T294*M295,0)</f>
        <v>3</v>
      </c>
      <c r="V295" s="598"/>
    </row>
    <row r="296" spans="1:22" s="604" customFormat="1" x14ac:dyDescent="0.45">
      <c r="A296" s="598"/>
      <c r="B296" s="598"/>
      <c r="C296" s="598"/>
      <c r="D296" s="598"/>
      <c r="E296" s="599"/>
      <c r="F296" s="603"/>
      <c r="G296" s="599"/>
      <c r="H296" s="600"/>
      <c r="I296" s="601"/>
      <c r="J296" s="601"/>
      <c r="K296" s="598"/>
      <c r="L296" s="598" t="s">
        <v>499</v>
      </c>
      <c r="M296" s="602">
        <v>0.75</v>
      </c>
      <c r="N296" s="602"/>
      <c r="O296" s="600">
        <f>ROUND(H294*M296,0)</f>
        <v>1</v>
      </c>
      <c r="P296" s="600">
        <f>O295-O296</f>
        <v>0</v>
      </c>
      <c r="Q296" s="598"/>
      <c r="R296" s="598"/>
      <c r="S296" s="598"/>
      <c r="T296" s="600"/>
      <c r="U296" s="600">
        <f>ROUND(T294*M296,0)</f>
        <v>2</v>
      </c>
      <c r="V296" s="598"/>
    </row>
    <row r="297" spans="1:22" s="604" customFormat="1" x14ac:dyDescent="0.45">
      <c r="A297" s="598"/>
      <c r="B297" s="598"/>
      <c r="C297" s="598"/>
      <c r="D297" s="598"/>
      <c r="E297" s="599"/>
      <c r="F297" s="603"/>
      <c r="G297" s="599"/>
      <c r="H297" s="600"/>
      <c r="I297" s="601"/>
      <c r="J297" s="601"/>
      <c r="K297" s="598"/>
      <c r="L297" s="598" t="s">
        <v>495</v>
      </c>
      <c r="M297" s="602">
        <v>0</v>
      </c>
      <c r="N297" s="602"/>
      <c r="O297" s="600">
        <f>ROUND(H294*M297,0)</f>
        <v>0</v>
      </c>
      <c r="P297" s="600">
        <f>O295-O297</f>
        <v>1</v>
      </c>
      <c r="Q297" s="598"/>
      <c r="R297" s="598"/>
      <c r="S297" s="598"/>
      <c r="T297" s="600"/>
      <c r="U297" s="600">
        <f>ROUND(T294*M297,0)</f>
        <v>0</v>
      </c>
      <c r="V297" s="598"/>
    </row>
    <row r="298" spans="1:22" s="604" customFormat="1" x14ac:dyDescent="0.45">
      <c r="A298" s="598"/>
      <c r="B298" s="598"/>
      <c r="C298" s="598"/>
      <c r="D298" s="598"/>
      <c r="E298" s="599"/>
      <c r="F298" s="603"/>
      <c r="G298" s="599"/>
      <c r="H298" s="600"/>
      <c r="I298" s="601"/>
      <c r="J298" s="601"/>
      <c r="K298" s="744" t="s">
        <v>936</v>
      </c>
      <c r="L298" s="598"/>
      <c r="M298" s="602"/>
      <c r="N298" s="602"/>
      <c r="O298" s="600"/>
      <c r="P298" s="600"/>
      <c r="Q298" s="598"/>
      <c r="R298" s="598"/>
      <c r="S298" s="598"/>
      <c r="T298" s="600"/>
      <c r="U298" s="598"/>
      <c r="V298" s="598"/>
    </row>
    <row r="299" spans="1:22" s="604" customFormat="1" x14ac:dyDescent="0.45">
      <c r="A299" s="598"/>
      <c r="B299" s="598"/>
      <c r="C299" s="598"/>
      <c r="D299" s="598"/>
      <c r="E299" s="599"/>
      <c r="F299" s="603"/>
      <c r="G299" s="599"/>
      <c r="H299" s="600"/>
      <c r="I299" s="601"/>
      <c r="J299" s="601"/>
      <c r="K299" s="598"/>
      <c r="L299" s="598"/>
      <c r="M299" s="602"/>
      <c r="N299" s="602"/>
      <c r="O299" s="602"/>
      <c r="P299" s="602"/>
      <c r="Q299" s="598"/>
      <c r="R299" s="598"/>
      <c r="S299" s="598"/>
      <c r="T299" s="600"/>
      <c r="U299" s="598"/>
      <c r="V299" s="598"/>
    </row>
    <row r="300" spans="1:22" s="604" customFormat="1" ht="264" customHeight="1" x14ac:dyDescent="0.45">
      <c r="A300" s="598" t="s">
        <v>354</v>
      </c>
      <c r="B300" s="598" t="s">
        <v>741</v>
      </c>
      <c r="C300" s="598" t="s">
        <v>934</v>
      </c>
      <c r="D300" s="598" t="s">
        <v>695</v>
      </c>
      <c r="E300" s="599">
        <f>DGNBvægtning!I147</f>
        <v>1.4457831325301205E-3</v>
      </c>
      <c r="F300" s="600">
        <f>$F$166*G300</f>
        <v>0.3065224439270241</v>
      </c>
      <c r="G300" s="599">
        <f>E300/$E$166</f>
        <v>6.1304488785404818E-3</v>
      </c>
      <c r="H300" s="600">
        <v>1</v>
      </c>
      <c r="I300" s="601" t="s">
        <v>492</v>
      </c>
      <c r="J300" s="601"/>
      <c r="K300" s="751" t="s">
        <v>1011</v>
      </c>
      <c r="L300" s="598"/>
      <c r="M300" s="602"/>
      <c r="N300" s="603">
        <f>IF('Sortering af spørgsmål'!$C$22=Projektforudsætninger!$C$20,'Dialogpart 1'!$J$94,IF('Sortering af spørgsmål'!$C$22=Projektforudsætninger!$C$21,'Dialogpart 2'!$J$94,IF('Sortering af spørgsmål'!$C$22=Projektforudsætninger!$C$22,'Dialogpart 3'!$J$94,IF('Sortering af spørgsmål'!$C$22=Projektforudsætninger!$C$23,'Dialogpart 4'!$J$94,IF('Sortering af spørgsmål'!$C$22=Projektforudsætninger!$C$24,'Dialogpart 5'!$J$94,IF('Sortering af spørgsmål'!$C$22=Projektforudsætninger!$C$25,'Dialogpart 6'!$J$94,IF('Sortering af spørgsmål'!$C$22=Projektforudsætninger!$C$22,'Dialogpart 7'!$J$94,IF('Sortering af spørgsmål'!$C$22=Projektforudsætninger!$C$23,#REF!,IF('Sortering af spørgsmål'!$C$22=Projektforudsætninger!$C$24,#REF!,IF('Sortering af spørgsmål'!$C$22=Projektforudsætninger!$C$25,#REF!,0))))))))))</f>
        <v>0</v>
      </c>
      <c r="O300" s="603"/>
      <c r="P300" s="603"/>
      <c r="Q300" s="598"/>
      <c r="R300" s="599">
        <f>'Sortering af spørgsmål'!$E$22*(Arbejdsark!E300/SUM($E$300:$E$371))</f>
        <v>4.0201005025125624E-3</v>
      </c>
      <c r="S300" s="599">
        <f>R300/$R$166</f>
        <v>1.0050251256281402E-2</v>
      </c>
      <c r="T300" s="600">
        <f>$T$166*S300</f>
        <v>0.50251256281407009</v>
      </c>
      <c r="U300" s="598"/>
      <c r="V300" s="598"/>
    </row>
    <row r="301" spans="1:22" s="604" customFormat="1" x14ac:dyDescent="0.45">
      <c r="A301" s="598"/>
      <c r="B301" s="598"/>
      <c r="C301" s="598"/>
      <c r="D301" s="598"/>
      <c r="E301" s="599"/>
      <c r="F301" s="603"/>
      <c r="G301" s="599"/>
      <c r="H301" s="600"/>
      <c r="I301" s="601"/>
      <c r="J301" s="601"/>
      <c r="K301" s="598"/>
      <c r="L301" s="598" t="s">
        <v>498</v>
      </c>
      <c r="M301" s="602">
        <v>1</v>
      </c>
      <c r="N301" s="602"/>
      <c r="O301" s="600">
        <f>ROUND(H300*M301,0)</f>
        <v>1</v>
      </c>
      <c r="P301" s="600">
        <f>O301-O301</f>
        <v>0</v>
      </c>
      <c r="Q301" s="598"/>
      <c r="R301" s="598"/>
      <c r="S301" s="598"/>
      <c r="T301" s="600"/>
      <c r="U301" s="600">
        <f>ROUND(T300*M301,0)</f>
        <v>1</v>
      </c>
      <c r="V301" s="598"/>
    </row>
    <row r="302" spans="1:22" s="604" customFormat="1" x14ac:dyDescent="0.45">
      <c r="A302" s="598"/>
      <c r="B302" s="598"/>
      <c r="C302" s="598"/>
      <c r="D302" s="598"/>
      <c r="E302" s="599"/>
      <c r="F302" s="603"/>
      <c r="G302" s="599"/>
      <c r="H302" s="600"/>
      <c r="I302" s="601"/>
      <c r="J302" s="601"/>
      <c r="K302" s="598"/>
      <c r="L302" s="598" t="s">
        <v>499</v>
      </c>
      <c r="M302" s="602">
        <v>0.5</v>
      </c>
      <c r="N302" s="602"/>
      <c r="O302" s="600">
        <f>ROUND(H300*M302,0)</f>
        <v>1</v>
      </c>
      <c r="P302" s="600">
        <f>O301-O302</f>
        <v>0</v>
      </c>
      <c r="Q302" s="598"/>
      <c r="R302" s="598"/>
      <c r="S302" s="598"/>
      <c r="T302" s="600"/>
      <c r="U302" s="600">
        <f>ROUND(T300*M302,0)</f>
        <v>0</v>
      </c>
      <c r="V302" s="598"/>
    </row>
    <row r="303" spans="1:22" s="604" customFormat="1" x14ac:dyDescent="0.45">
      <c r="A303" s="598"/>
      <c r="B303" s="598"/>
      <c r="C303" s="598"/>
      <c r="D303" s="598"/>
      <c r="E303" s="599"/>
      <c r="F303" s="603"/>
      <c r="G303" s="599"/>
      <c r="H303" s="600"/>
      <c r="I303" s="601"/>
      <c r="J303" s="601"/>
      <c r="K303" s="598"/>
      <c r="L303" s="598" t="s">
        <v>495</v>
      </c>
      <c r="M303" s="602">
        <v>0</v>
      </c>
      <c r="N303" s="602"/>
      <c r="O303" s="600">
        <f>ROUND(H300*M303,0)</f>
        <v>0</v>
      </c>
      <c r="P303" s="600">
        <f>O301-O303</f>
        <v>1</v>
      </c>
      <c r="Q303" s="598"/>
      <c r="R303" s="598"/>
      <c r="S303" s="598"/>
      <c r="T303" s="600"/>
      <c r="U303" s="600">
        <f>ROUND(T300*M303,0)</f>
        <v>0</v>
      </c>
      <c r="V303" s="598"/>
    </row>
    <row r="304" spans="1:22" s="604" customFormat="1" x14ac:dyDescent="0.45">
      <c r="A304" s="598"/>
      <c r="B304" s="598"/>
      <c r="C304" s="598"/>
      <c r="D304" s="598"/>
      <c r="E304" s="599"/>
      <c r="F304" s="603"/>
      <c r="G304" s="599"/>
      <c r="H304" s="600"/>
      <c r="I304" s="601"/>
      <c r="J304" s="601"/>
      <c r="K304" s="598"/>
      <c r="L304" s="598"/>
      <c r="M304" s="602"/>
      <c r="N304" s="602"/>
      <c r="O304" s="602"/>
      <c r="P304" s="602"/>
      <c r="Q304" s="598"/>
      <c r="R304" s="598"/>
      <c r="S304" s="598"/>
      <c r="T304" s="600"/>
      <c r="U304" s="598"/>
      <c r="V304" s="598"/>
    </row>
    <row r="305" spans="1:22" s="604" customFormat="1" x14ac:dyDescent="0.45">
      <c r="A305" s="598"/>
      <c r="B305" s="598"/>
      <c r="C305" s="598"/>
      <c r="D305" s="598"/>
      <c r="E305" s="599"/>
      <c r="F305" s="603"/>
      <c r="G305" s="599"/>
      <c r="H305" s="600"/>
      <c r="I305" s="601"/>
      <c r="J305" s="601"/>
      <c r="K305" s="598"/>
      <c r="L305" s="598"/>
      <c r="M305" s="602"/>
      <c r="N305" s="602"/>
      <c r="O305" s="602"/>
      <c r="P305" s="602"/>
      <c r="Q305" s="598"/>
      <c r="R305" s="598"/>
      <c r="S305" s="598"/>
      <c r="T305" s="600"/>
      <c r="U305" s="598"/>
      <c r="V305" s="598"/>
    </row>
    <row r="306" spans="1:22" s="604" customFormat="1" ht="199.5" x14ac:dyDescent="0.45">
      <c r="A306" s="598"/>
      <c r="B306" s="598" t="s">
        <v>742</v>
      </c>
      <c r="C306" s="598" t="s">
        <v>551</v>
      </c>
      <c r="D306" s="598" t="s">
        <v>904</v>
      </c>
      <c r="E306" s="599">
        <f>DGNBvægtning!I148+DGNBvægtning!I149</f>
        <v>9.0361445783132533E-4</v>
      </c>
      <c r="F306" s="600">
        <f>$F$166*G306</f>
        <v>0.19157652745439005</v>
      </c>
      <c r="G306" s="599">
        <f>E306/$E$166</f>
        <v>3.8315305490878009E-3</v>
      </c>
      <c r="H306" s="600">
        <v>1</v>
      </c>
      <c r="I306" s="601" t="s">
        <v>492</v>
      </c>
      <c r="J306" s="601"/>
      <c r="K306" s="598" t="s">
        <v>1012</v>
      </c>
      <c r="L306" s="598"/>
      <c r="M306" s="602"/>
      <c r="N306" s="603">
        <f>IF('Sortering af spørgsmål'!$C$22=Projektforudsætninger!$C$20,'Dialogpart 1'!$J$95,IF('Sortering af spørgsmål'!$C$22=Projektforudsætninger!$C$21,'Dialogpart 2'!$J$95,IF('Sortering af spørgsmål'!$C$22=Projektforudsætninger!$C$22,'Dialogpart 3'!$J$95,IF('Sortering af spørgsmål'!$C$22=Projektforudsætninger!$C$23,'Dialogpart 4'!$J$95,IF('Sortering af spørgsmål'!$C$22=Projektforudsætninger!$C$24,'Dialogpart 5'!$J$95,IF('Sortering af spørgsmål'!$C$22=Projektforudsætninger!$C$25,'Dialogpart 6'!$J$95,IF('Sortering af spørgsmål'!$C$22=Projektforudsætninger!$C$22,'Dialogpart 7'!$J$95,IF('Sortering af spørgsmål'!$C$22=Projektforudsætninger!$C$23,#REF!,IF('Sortering af spørgsmål'!$C$22=Projektforudsætninger!$C$24,#REF!,IF('Sortering af spørgsmål'!$C$22=Projektforudsætninger!$C$25,#REF!,0))))))))))</f>
        <v>0</v>
      </c>
      <c r="O306" s="603"/>
      <c r="P306" s="603"/>
      <c r="Q306" s="598"/>
      <c r="R306" s="599">
        <f>'Sortering af spørgsmål'!$E$22*(Arbejdsark!E306/SUM($E$300:$E$371))</f>
        <v>2.5125628140703518E-3</v>
      </c>
      <c r="S306" s="599">
        <f>R306/$R$166</f>
        <v>6.2814070351758771E-3</v>
      </c>
      <c r="T306" s="600">
        <f>$T$166*S306</f>
        <v>0.31407035175879383</v>
      </c>
      <c r="U306" s="598"/>
      <c r="V306" s="598"/>
    </row>
    <row r="307" spans="1:22" s="604" customFormat="1" x14ac:dyDescent="0.45">
      <c r="A307" s="598"/>
      <c r="B307" s="598"/>
      <c r="C307" s="598"/>
      <c r="D307" s="598"/>
      <c r="E307" s="599"/>
      <c r="F307" s="603"/>
      <c r="G307" s="599"/>
      <c r="H307" s="600"/>
      <c r="I307" s="601"/>
      <c r="J307" s="601"/>
      <c r="K307" s="598"/>
      <c r="L307" s="598" t="s">
        <v>498</v>
      </c>
      <c r="M307" s="602">
        <v>1</v>
      </c>
      <c r="N307" s="602"/>
      <c r="O307" s="600">
        <f>ROUND(H306*M307,0)</f>
        <v>1</v>
      </c>
      <c r="P307" s="600">
        <f>O307-O307</f>
        <v>0</v>
      </c>
      <c r="Q307" s="598"/>
      <c r="R307" s="598"/>
      <c r="S307" s="598"/>
      <c r="T307" s="600"/>
      <c r="U307" s="600">
        <f>ROUND(T306*M307,0)</f>
        <v>0</v>
      </c>
      <c r="V307" s="598"/>
    </row>
    <row r="308" spans="1:22" s="604" customFormat="1" x14ac:dyDescent="0.45">
      <c r="A308" s="598"/>
      <c r="B308" s="598"/>
      <c r="C308" s="598"/>
      <c r="D308" s="598"/>
      <c r="E308" s="599"/>
      <c r="F308" s="603"/>
      <c r="G308" s="599"/>
      <c r="H308" s="600"/>
      <c r="I308" s="601"/>
      <c r="J308" s="601"/>
      <c r="K308" s="598"/>
      <c r="L308" s="598" t="s">
        <v>499</v>
      </c>
      <c r="M308" s="602">
        <v>0.5</v>
      </c>
      <c r="N308" s="602"/>
      <c r="O308" s="600">
        <f>ROUND(H306*M308,0)</f>
        <v>1</v>
      </c>
      <c r="P308" s="600">
        <f>O307-O308</f>
        <v>0</v>
      </c>
      <c r="Q308" s="598"/>
      <c r="R308" s="598"/>
      <c r="S308" s="598"/>
      <c r="T308" s="600"/>
      <c r="U308" s="600">
        <f>ROUND(T306*M308,0)</f>
        <v>0</v>
      </c>
      <c r="V308" s="598"/>
    </row>
    <row r="309" spans="1:22" s="604" customFormat="1" x14ac:dyDescent="0.45">
      <c r="A309" s="598"/>
      <c r="B309" s="598"/>
      <c r="C309" s="598"/>
      <c r="D309" s="598"/>
      <c r="E309" s="599"/>
      <c r="F309" s="603"/>
      <c r="G309" s="599"/>
      <c r="H309" s="600"/>
      <c r="I309" s="601"/>
      <c r="J309" s="601"/>
      <c r="K309" s="598"/>
      <c r="L309" s="598" t="s">
        <v>495</v>
      </c>
      <c r="M309" s="602">
        <v>0</v>
      </c>
      <c r="N309" s="602"/>
      <c r="O309" s="600">
        <f>ROUND(H306*M309,0)</f>
        <v>0</v>
      </c>
      <c r="P309" s="600">
        <f>O307-O309</f>
        <v>1</v>
      </c>
      <c r="Q309" s="598"/>
      <c r="R309" s="598"/>
      <c r="S309" s="598"/>
      <c r="T309" s="600"/>
      <c r="U309" s="600">
        <f>ROUND(T306*M309,0)</f>
        <v>0</v>
      </c>
      <c r="V309" s="598"/>
    </row>
    <row r="310" spans="1:22" s="604" customFormat="1" x14ac:dyDescent="0.45">
      <c r="A310" s="598"/>
      <c r="B310" s="598"/>
      <c r="C310" s="598"/>
      <c r="D310" s="598"/>
      <c r="E310" s="599"/>
      <c r="F310" s="603"/>
      <c r="G310" s="599"/>
      <c r="H310" s="600"/>
      <c r="I310" s="601"/>
      <c r="J310" s="601"/>
      <c r="K310" s="598"/>
      <c r="L310" s="598"/>
      <c r="M310" s="602"/>
      <c r="N310" s="602"/>
      <c r="O310" s="602"/>
      <c r="P310" s="602"/>
      <c r="Q310" s="598"/>
      <c r="R310" s="598"/>
      <c r="S310" s="598"/>
      <c r="T310" s="600"/>
      <c r="U310" s="598"/>
      <c r="V310" s="598"/>
    </row>
    <row r="311" spans="1:22" s="604" customFormat="1" ht="213.75" x14ac:dyDescent="0.45">
      <c r="A311" s="598"/>
      <c r="B311" s="598" t="s">
        <v>743</v>
      </c>
      <c r="C311" s="750" t="s">
        <v>947</v>
      </c>
      <c r="D311" s="598" t="s">
        <v>905</v>
      </c>
      <c r="E311" s="599">
        <f>DGNBvægtning!I153</f>
        <v>1.3554216867469879E-3</v>
      </c>
      <c r="F311" s="600">
        <f>$F$166*G311</f>
        <v>0.28736479118158509</v>
      </c>
      <c r="G311" s="599">
        <f>E311/$E$166</f>
        <v>5.7472958236317014E-3</v>
      </c>
      <c r="H311" s="600">
        <v>1</v>
      </c>
      <c r="I311" s="601" t="s">
        <v>492</v>
      </c>
      <c r="J311" s="601"/>
      <c r="K311" s="598" t="s">
        <v>1013</v>
      </c>
      <c r="L311" s="598"/>
      <c r="M311" s="602"/>
      <c r="N311" s="603">
        <f>IF('Sortering af spørgsmål'!$C$22=Projektforudsætninger!$C$20,'Dialogpart 1'!$J$96,IF('Sortering af spørgsmål'!$C$22=Projektforudsætninger!$C$21,'Dialogpart 2'!$J$96,IF('Sortering af spørgsmål'!$C$22=Projektforudsætninger!$C$22,'Dialogpart 3'!$J$96,IF('Sortering af spørgsmål'!$C$22=Projektforudsætninger!$C$23,'Dialogpart 4'!$J$96,IF('Sortering af spørgsmål'!$C$22=Projektforudsætninger!$C$24,'Dialogpart 5'!$J$96,IF('Sortering af spørgsmål'!$C$22=Projektforudsætninger!$C$25,'Dialogpart 6'!$J$96,IF('Sortering af spørgsmål'!$C$22=Projektforudsætninger!$C$22,'Dialogpart 7'!$J$96,IF('Sortering af spørgsmål'!$C$22=Projektforudsætninger!$C$23,#REF!,IF('Sortering af spørgsmål'!$C$22=Projektforudsætninger!$C$24,#REF!,IF('Sortering af spørgsmål'!$C$22=Projektforudsætninger!$C$25,#REF!,0))))))))))</f>
        <v>0</v>
      </c>
      <c r="O311" s="603"/>
      <c r="P311" s="603"/>
      <c r="Q311" s="598"/>
      <c r="R311" s="599">
        <f>'Sortering af spørgsmål'!$E$22*(Arbejdsark!E311/SUM($E$300:$E$371))</f>
        <v>3.7688442211055275E-3</v>
      </c>
      <c r="S311" s="599">
        <f>R311/$R$166</f>
        <v>9.4221105527638148E-3</v>
      </c>
      <c r="T311" s="600">
        <f>$T$166*S311</f>
        <v>0.47110552763819075</v>
      </c>
      <c r="U311" s="598"/>
      <c r="V311" s="598"/>
    </row>
    <row r="312" spans="1:22" s="604" customFormat="1" x14ac:dyDescent="0.45">
      <c r="A312" s="598"/>
      <c r="B312" s="598"/>
      <c r="C312" s="598"/>
      <c r="D312" s="598"/>
      <c r="E312" s="599"/>
      <c r="F312" s="603"/>
      <c r="G312" s="599"/>
      <c r="H312" s="600"/>
      <c r="I312" s="601"/>
      <c r="J312" s="601"/>
      <c r="K312" s="598"/>
      <c r="L312" s="598" t="s">
        <v>498</v>
      </c>
      <c r="M312" s="602">
        <v>1</v>
      </c>
      <c r="N312" s="602"/>
      <c r="O312" s="600">
        <f>ROUND(H311*M312,0)</f>
        <v>1</v>
      </c>
      <c r="P312" s="600">
        <f>O312-O312</f>
        <v>0</v>
      </c>
      <c r="Q312" s="598"/>
      <c r="R312" s="598"/>
      <c r="S312" s="598"/>
      <c r="T312" s="600"/>
      <c r="U312" s="600">
        <f>ROUND(T311*M312,0)</f>
        <v>0</v>
      </c>
      <c r="V312" s="598"/>
    </row>
    <row r="313" spans="1:22" s="604" customFormat="1" x14ac:dyDescent="0.45">
      <c r="A313" s="598"/>
      <c r="B313" s="598"/>
      <c r="C313" s="598"/>
      <c r="D313" s="598"/>
      <c r="E313" s="599"/>
      <c r="F313" s="603"/>
      <c r="G313" s="599"/>
      <c r="H313" s="600"/>
      <c r="I313" s="601"/>
      <c r="J313" s="601"/>
      <c r="K313" s="598"/>
      <c r="L313" s="598" t="s">
        <v>499</v>
      </c>
      <c r="M313" s="602">
        <v>0.5</v>
      </c>
      <c r="N313" s="602"/>
      <c r="O313" s="600">
        <f>ROUND(H311*M313,0)</f>
        <v>1</v>
      </c>
      <c r="P313" s="600">
        <f>O312-O313</f>
        <v>0</v>
      </c>
      <c r="Q313" s="598"/>
      <c r="R313" s="598"/>
      <c r="S313" s="598"/>
      <c r="T313" s="600"/>
      <c r="U313" s="600">
        <f>ROUND(T311*M313,0)</f>
        <v>0</v>
      </c>
      <c r="V313" s="598"/>
    </row>
    <row r="314" spans="1:22" s="604" customFormat="1" x14ac:dyDescent="0.45">
      <c r="A314" s="598"/>
      <c r="B314" s="598"/>
      <c r="C314" s="598"/>
      <c r="D314" s="598"/>
      <c r="E314" s="599"/>
      <c r="F314" s="603"/>
      <c r="G314" s="599"/>
      <c r="H314" s="600"/>
      <c r="I314" s="601"/>
      <c r="J314" s="601"/>
      <c r="K314" s="598"/>
      <c r="L314" s="598" t="s">
        <v>495</v>
      </c>
      <c r="M314" s="602">
        <v>0</v>
      </c>
      <c r="N314" s="602"/>
      <c r="O314" s="600">
        <f>ROUND(H311*M314,0)</f>
        <v>0</v>
      </c>
      <c r="P314" s="600">
        <f>O312-O314</f>
        <v>1</v>
      </c>
      <c r="Q314" s="598"/>
      <c r="R314" s="598"/>
      <c r="S314" s="598"/>
      <c r="T314" s="600"/>
      <c r="U314" s="600">
        <f>ROUND(T311*M314,0)</f>
        <v>0</v>
      </c>
      <c r="V314" s="598"/>
    </row>
    <row r="315" spans="1:22" s="604" customFormat="1" x14ac:dyDescent="0.45">
      <c r="A315" s="598"/>
      <c r="B315" s="598"/>
      <c r="C315" s="598"/>
      <c r="D315" s="598"/>
      <c r="E315" s="599"/>
      <c r="F315" s="603"/>
      <c r="G315" s="599"/>
      <c r="H315" s="600"/>
      <c r="I315" s="601"/>
      <c r="J315" s="601"/>
      <c r="K315" s="598"/>
      <c r="L315" s="750"/>
      <c r="M315" s="602"/>
      <c r="N315" s="602"/>
      <c r="O315" s="602"/>
      <c r="P315" s="602"/>
      <c r="Q315" s="598"/>
      <c r="R315" s="598"/>
      <c r="S315" s="598"/>
      <c r="T315" s="600"/>
      <c r="U315" s="598"/>
      <c r="V315" s="598"/>
    </row>
    <row r="316" spans="1:22" s="604" customFormat="1" ht="213.75" x14ac:dyDescent="0.45">
      <c r="A316" s="598"/>
      <c r="B316" s="598" t="s">
        <v>744</v>
      </c>
      <c r="C316" s="751" t="s">
        <v>948</v>
      </c>
      <c r="D316" s="598" t="s">
        <v>696</v>
      </c>
      <c r="E316" s="599">
        <f>DGNBvægtning!I150</f>
        <v>8.1325301204819274E-4</v>
      </c>
      <c r="F316" s="600">
        <f>$F$166*G316</f>
        <v>0.17241887470895104</v>
      </c>
      <c r="G316" s="599">
        <f>E316/$E$166</f>
        <v>3.4483774941790209E-3</v>
      </c>
      <c r="H316" s="600">
        <v>1</v>
      </c>
      <c r="I316" s="601" t="s">
        <v>492</v>
      </c>
      <c r="J316" s="601"/>
      <c r="K316" s="751" t="s">
        <v>1015</v>
      </c>
      <c r="L316" s="598"/>
      <c r="M316" s="602"/>
      <c r="N316" s="603">
        <f>IF('Sortering af spørgsmål'!$C$22=Projektforudsætninger!$C$20,'Dialogpart 1'!$J$97,IF('Sortering af spørgsmål'!$C$22=Projektforudsætninger!$C$21,'Dialogpart 2'!$J$97,IF('Sortering af spørgsmål'!$C$22=Projektforudsætninger!$C$22,'Dialogpart 3'!$J$97,IF('Sortering af spørgsmål'!$C$22=Projektforudsætninger!$C$23,'Dialogpart 4'!$J$97,IF('Sortering af spørgsmål'!$C$22=Projektforudsætninger!$C$24,'Dialogpart 5'!$J$97,IF('Sortering af spørgsmål'!$C$22=Projektforudsætninger!$C$25,'Dialogpart 6'!$J$97,IF('Sortering af spørgsmål'!$C$22=Projektforudsætninger!$C$22,'Dialogpart 7'!$J$97,IF('Sortering af spørgsmål'!$C$22=Projektforudsætninger!$C$23,#REF!,IF('Sortering af spørgsmål'!$C$22=Projektforudsætninger!$C$24,#REF!,IF('Sortering af spørgsmål'!$C$22=Projektforudsætninger!$C$25,#REF!,0))))))))))</f>
        <v>0</v>
      </c>
      <c r="O316" s="603"/>
      <c r="P316" s="603"/>
      <c r="Q316" s="598"/>
      <c r="R316" s="599">
        <f>'Sortering af spørgsmål'!$E$22*(Arbejdsark!E316/SUM($E$300:$E$371))</f>
        <v>2.2613065326633165E-3</v>
      </c>
      <c r="S316" s="599">
        <f>R316/$R$166</f>
        <v>5.653266331658289E-3</v>
      </c>
      <c r="T316" s="600">
        <f>$T$166*S316</f>
        <v>0.28266331658291444</v>
      </c>
      <c r="U316" s="598"/>
      <c r="V316" s="598"/>
    </row>
    <row r="317" spans="1:22" s="604" customFormat="1" x14ac:dyDescent="0.45">
      <c r="A317" s="598"/>
      <c r="B317" s="598"/>
      <c r="C317" s="598"/>
      <c r="D317" s="598"/>
      <c r="E317" s="599"/>
      <c r="F317" s="603"/>
      <c r="G317" s="599"/>
      <c r="H317" s="600"/>
      <c r="I317" s="601"/>
      <c r="J317" s="601"/>
      <c r="K317" s="598"/>
      <c r="L317" s="598" t="s">
        <v>498</v>
      </c>
      <c r="M317" s="602">
        <v>1</v>
      </c>
      <c r="N317" s="602"/>
      <c r="O317" s="600">
        <f>ROUND(H316*M317,0)</f>
        <v>1</v>
      </c>
      <c r="P317" s="600">
        <f>O317-O317</f>
        <v>0</v>
      </c>
      <c r="Q317" s="598"/>
      <c r="R317" s="598"/>
      <c r="S317" s="598"/>
      <c r="T317" s="600"/>
      <c r="U317" s="600">
        <f>ROUND(T316*M317,0)</f>
        <v>0</v>
      </c>
      <c r="V317" s="598"/>
    </row>
    <row r="318" spans="1:22" s="604" customFormat="1" x14ac:dyDescent="0.45">
      <c r="A318" s="598"/>
      <c r="B318" s="598"/>
      <c r="C318" s="598"/>
      <c r="D318" s="598"/>
      <c r="E318" s="599"/>
      <c r="F318" s="603"/>
      <c r="G318" s="599"/>
      <c r="H318" s="600"/>
      <c r="I318" s="601"/>
      <c r="J318" s="601"/>
      <c r="K318" s="598"/>
      <c r="L318" s="598" t="s">
        <v>499</v>
      </c>
      <c r="M318" s="602">
        <v>0.5</v>
      </c>
      <c r="N318" s="602"/>
      <c r="O318" s="600">
        <f>ROUND(H316*M318,0)</f>
        <v>1</v>
      </c>
      <c r="P318" s="600">
        <f>O317-O318</f>
        <v>0</v>
      </c>
      <c r="Q318" s="598"/>
      <c r="R318" s="598"/>
      <c r="S318" s="598"/>
      <c r="T318" s="600"/>
      <c r="U318" s="600">
        <f>ROUND(T316*M318,0)</f>
        <v>0</v>
      </c>
      <c r="V318" s="598"/>
    </row>
    <row r="319" spans="1:22" s="604" customFormat="1" x14ac:dyDescent="0.45">
      <c r="A319" s="598"/>
      <c r="B319" s="598"/>
      <c r="C319" s="598"/>
      <c r="D319" s="598"/>
      <c r="E319" s="599"/>
      <c r="F319" s="603"/>
      <c r="G319" s="599"/>
      <c r="H319" s="600"/>
      <c r="I319" s="601"/>
      <c r="J319" s="601"/>
      <c r="K319" s="598"/>
      <c r="L319" s="598" t="s">
        <v>495</v>
      </c>
      <c r="M319" s="602">
        <v>0</v>
      </c>
      <c r="N319" s="602"/>
      <c r="O319" s="600">
        <f>ROUND(H316*M319,0)</f>
        <v>0</v>
      </c>
      <c r="P319" s="600">
        <f>O317-O319</f>
        <v>1</v>
      </c>
      <c r="Q319" s="598"/>
      <c r="R319" s="598"/>
      <c r="S319" s="598"/>
      <c r="T319" s="600"/>
      <c r="U319" s="600">
        <f>ROUND(T316*M319,0)</f>
        <v>0</v>
      </c>
      <c r="V319" s="598"/>
    </row>
    <row r="320" spans="1:22" s="604" customFormat="1" ht="42.75" x14ac:dyDescent="0.45">
      <c r="A320" s="598"/>
      <c r="B320" s="598"/>
      <c r="C320" s="598"/>
      <c r="D320" s="598"/>
      <c r="E320" s="599"/>
      <c r="F320" s="603"/>
      <c r="G320" s="599"/>
      <c r="H320" s="600"/>
      <c r="I320" s="601"/>
      <c r="J320" s="601"/>
      <c r="K320" s="598"/>
      <c r="L320" s="751" t="s">
        <v>1014</v>
      </c>
      <c r="M320" s="602"/>
      <c r="N320" s="602"/>
      <c r="O320" s="602"/>
      <c r="P320" s="602"/>
      <c r="Q320" s="598"/>
      <c r="R320" s="598"/>
      <c r="S320" s="598"/>
      <c r="T320" s="600"/>
      <c r="U320" s="598"/>
      <c r="V320" s="598"/>
    </row>
    <row r="321" spans="1:22" s="604" customFormat="1" ht="213.75" x14ac:dyDescent="0.45">
      <c r="A321" s="598"/>
      <c r="B321" s="598" t="s">
        <v>745</v>
      </c>
      <c r="C321" s="598" t="s">
        <v>552</v>
      </c>
      <c r="D321" s="598" t="s">
        <v>696</v>
      </c>
      <c r="E321" s="599">
        <f>DGNBvægtning!I150</f>
        <v>8.1325301204819274E-4</v>
      </c>
      <c r="F321" s="600">
        <f>$F$166*G321</f>
        <v>0.17241887470895104</v>
      </c>
      <c r="G321" s="599">
        <f>E321/$E$166</f>
        <v>3.4483774941790209E-3</v>
      </c>
      <c r="H321" s="600">
        <v>1</v>
      </c>
      <c r="I321" s="601" t="s">
        <v>492</v>
      </c>
      <c r="J321" s="601"/>
      <c r="K321" s="598" t="s">
        <v>1016</v>
      </c>
      <c r="L321" s="598"/>
      <c r="M321" s="602"/>
      <c r="N321" s="603">
        <f>IF('Sortering af spørgsmål'!$C$22=Projektforudsætninger!$C$20,'Dialogpart 1'!$J$98,IF('Sortering af spørgsmål'!$C$22=Projektforudsætninger!$C$21,'Dialogpart 2'!$J$98,IF('Sortering af spørgsmål'!$C$22=Projektforudsætninger!$C$22,'Dialogpart 3'!$J$98,IF('Sortering af spørgsmål'!$C$22=Projektforudsætninger!$C$23,'Dialogpart 4'!$J$98,IF('Sortering af spørgsmål'!$C$22=Projektforudsætninger!$C$24,'Dialogpart 5'!$J$98,IF('Sortering af spørgsmål'!$C$22=Projektforudsætninger!$C$25,'Dialogpart 6'!$J$98,IF('Sortering af spørgsmål'!$C$22=Projektforudsætninger!$C$22,'Dialogpart 7'!$J$98,IF('Sortering af spørgsmål'!$C$22=Projektforudsætninger!$C$23,#REF!,IF('Sortering af spørgsmål'!$C$22=Projektforudsætninger!$C$24,#REF!,IF('Sortering af spørgsmål'!$C$22=Projektforudsætninger!$C$25,#REF!,0))))))))))</f>
        <v>0</v>
      </c>
      <c r="O321" s="603"/>
      <c r="P321" s="603"/>
      <c r="Q321" s="598"/>
      <c r="R321" s="599">
        <f>'Sortering af spørgsmål'!$E$22*(Arbejdsark!E321/SUM($E$300:$E$371))</f>
        <v>2.2613065326633165E-3</v>
      </c>
      <c r="S321" s="599">
        <f>R321/$R$166</f>
        <v>5.653266331658289E-3</v>
      </c>
      <c r="T321" s="600">
        <f>$T$166*S321</f>
        <v>0.28266331658291444</v>
      </c>
      <c r="U321" s="598"/>
      <c r="V321" s="598"/>
    </row>
    <row r="322" spans="1:22" s="604" customFormat="1" x14ac:dyDescent="0.45">
      <c r="A322" s="598"/>
      <c r="B322" s="598"/>
      <c r="C322" s="598"/>
      <c r="D322" s="598"/>
      <c r="E322" s="599"/>
      <c r="F322" s="603"/>
      <c r="G322" s="599"/>
      <c r="H322" s="600"/>
      <c r="I322" s="601"/>
      <c r="J322" s="601"/>
      <c r="K322" s="598"/>
      <c r="L322" s="598" t="s">
        <v>498</v>
      </c>
      <c r="M322" s="602">
        <v>1</v>
      </c>
      <c r="N322" s="602"/>
      <c r="O322" s="600">
        <f>ROUND(H321*M322,0)</f>
        <v>1</v>
      </c>
      <c r="P322" s="600">
        <f>O322-O322</f>
        <v>0</v>
      </c>
      <c r="Q322" s="598"/>
      <c r="R322" s="598"/>
      <c r="S322" s="598"/>
      <c r="T322" s="600"/>
      <c r="U322" s="600">
        <f>ROUND(T321*M322,0)</f>
        <v>0</v>
      </c>
      <c r="V322" s="598"/>
    </row>
    <row r="323" spans="1:22" s="604" customFormat="1" x14ac:dyDescent="0.45">
      <c r="A323" s="598"/>
      <c r="B323" s="598"/>
      <c r="C323" s="598"/>
      <c r="D323" s="598"/>
      <c r="E323" s="599"/>
      <c r="F323" s="603"/>
      <c r="G323" s="599"/>
      <c r="H323" s="600"/>
      <c r="I323" s="601"/>
      <c r="J323" s="601"/>
      <c r="K323" s="598"/>
      <c r="L323" s="598" t="s">
        <v>499</v>
      </c>
      <c r="M323" s="602">
        <v>0.5</v>
      </c>
      <c r="N323" s="602"/>
      <c r="O323" s="600">
        <f>ROUND(H321*M323,0)</f>
        <v>1</v>
      </c>
      <c r="P323" s="600">
        <f>O322-O323</f>
        <v>0</v>
      </c>
      <c r="Q323" s="598"/>
      <c r="R323" s="598"/>
      <c r="S323" s="598"/>
      <c r="T323" s="600"/>
      <c r="U323" s="600">
        <f>ROUND(T321*M323,0)</f>
        <v>0</v>
      </c>
      <c r="V323" s="598"/>
    </row>
    <row r="324" spans="1:22" s="604" customFormat="1" x14ac:dyDescent="0.45">
      <c r="A324" s="598"/>
      <c r="B324" s="598"/>
      <c r="C324" s="598"/>
      <c r="D324" s="598"/>
      <c r="E324" s="599"/>
      <c r="F324" s="603"/>
      <c r="G324" s="599"/>
      <c r="H324" s="600"/>
      <c r="I324" s="601"/>
      <c r="J324" s="601"/>
      <c r="K324" s="598"/>
      <c r="L324" s="598" t="s">
        <v>495</v>
      </c>
      <c r="M324" s="602">
        <v>0</v>
      </c>
      <c r="N324" s="602"/>
      <c r="O324" s="600">
        <f>ROUND(H321*M324,0)</f>
        <v>0</v>
      </c>
      <c r="P324" s="600">
        <f>O322-O324</f>
        <v>1</v>
      </c>
      <c r="Q324" s="598"/>
      <c r="R324" s="598"/>
      <c r="S324" s="598"/>
      <c r="T324" s="600"/>
      <c r="U324" s="600">
        <f>ROUND(T321*M324,0)</f>
        <v>0</v>
      </c>
      <c r="V324" s="598"/>
    </row>
    <row r="325" spans="1:22" s="604" customFormat="1" x14ac:dyDescent="0.45">
      <c r="A325" s="598"/>
      <c r="B325" s="598"/>
      <c r="C325" s="598"/>
      <c r="D325" s="598"/>
      <c r="E325" s="599"/>
      <c r="F325" s="603"/>
      <c r="G325" s="599"/>
      <c r="H325" s="600"/>
      <c r="I325" s="601"/>
      <c r="J325" s="601"/>
      <c r="K325" s="598"/>
      <c r="L325" s="598"/>
      <c r="M325" s="602"/>
      <c r="N325" s="602"/>
      <c r="O325" s="602"/>
      <c r="P325" s="602"/>
      <c r="Q325" s="598"/>
      <c r="R325" s="598"/>
      <c r="S325" s="598"/>
      <c r="T325" s="600"/>
      <c r="U325" s="598"/>
      <c r="V325" s="598"/>
    </row>
    <row r="326" spans="1:22" s="604" customFormat="1" ht="213.75" x14ac:dyDescent="0.45">
      <c r="A326" s="598"/>
      <c r="B326" s="598" t="s">
        <v>746</v>
      </c>
      <c r="C326" s="598" t="s">
        <v>553</v>
      </c>
      <c r="D326" s="598" t="s">
        <v>697</v>
      </c>
      <c r="E326" s="599">
        <f>DGNBvægtning!I162</f>
        <v>9.0361445783132533E-4</v>
      </c>
      <c r="F326" s="600">
        <f>$F$166*G326</f>
        <v>0.19157652745439005</v>
      </c>
      <c r="G326" s="599">
        <f>E326/$E$166</f>
        <v>3.8315305490878009E-3</v>
      </c>
      <c r="H326" s="600">
        <v>1</v>
      </c>
      <c r="I326" s="601" t="s">
        <v>492</v>
      </c>
      <c r="J326" s="601"/>
      <c r="K326" s="598" t="s">
        <v>1017</v>
      </c>
      <c r="L326" s="598"/>
      <c r="M326" s="602"/>
      <c r="N326" s="603">
        <f>IF('Sortering af spørgsmål'!$C$22=Projektforudsætninger!$C$20,'Dialogpart 1'!$J$99,IF('Sortering af spørgsmål'!$C$22=Projektforudsætninger!$C$21,'Dialogpart 2'!$J$99,IF('Sortering af spørgsmål'!$C$22=Projektforudsætninger!$C$22,'Dialogpart 3'!$J$99,IF('Sortering af spørgsmål'!$C$22=Projektforudsætninger!$C$23,'Dialogpart 4'!$J$99,IF('Sortering af spørgsmål'!$C$22=Projektforudsætninger!$C$24,'Dialogpart 5'!$J$99,IF('Sortering af spørgsmål'!$C$22=Projektforudsætninger!$C$25,'Dialogpart 6'!$J$99,IF('Sortering af spørgsmål'!$C$22=Projektforudsætninger!$C$22,'Dialogpart 7'!$J$99,IF('Sortering af spørgsmål'!$C$22=Projektforudsætninger!$C$23,#REF!,IF('Sortering af spørgsmål'!$C$22=Projektforudsætninger!$C$24,#REF!,IF('Sortering af spørgsmål'!$C$22=Projektforudsætninger!$C$25,#REF!,0))))))))))</f>
        <v>0</v>
      </c>
      <c r="O326" s="603"/>
      <c r="P326" s="603"/>
      <c r="Q326" s="598"/>
      <c r="R326" s="599">
        <f>'Sortering af spørgsmål'!$E$22*(Arbejdsark!E326/SUM($E$300:$E$371))</f>
        <v>2.5125628140703518E-3</v>
      </c>
      <c r="S326" s="599">
        <f>R326/$R$166</f>
        <v>6.2814070351758771E-3</v>
      </c>
      <c r="T326" s="600">
        <f>$T$166*S326</f>
        <v>0.31407035175879383</v>
      </c>
      <c r="U326" s="598"/>
      <c r="V326" s="598"/>
    </row>
    <row r="327" spans="1:22" s="604" customFormat="1" x14ac:dyDescent="0.45">
      <c r="A327" s="598"/>
      <c r="B327" s="598"/>
      <c r="C327" s="598"/>
      <c r="D327" s="598"/>
      <c r="E327" s="599"/>
      <c r="F327" s="603"/>
      <c r="G327" s="599"/>
      <c r="H327" s="600"/>
      <c r="I327" s="601"/>
      <c r="J327" s="601"/>
      <c r="K327" s="598"/>
      <c r="L327" s="598" t="s">
        <v>498</v>
      </c>
      <c r="M327" s="602">
        <v>1</v>
      </c>
      <c r="N327" s="602"/>
      <c r="O327" s="600">
        <f>ROUND(H326*M327,0)</f>
        <v>1</v>
      </c>
      <c r="P327" s="600">
        <f>O327-O327</f>
        <v>0</v>
      </c>
      <c r="Q327" s="598"/>
      <c r="R327" s="598"/>
      <c r="S327" s="598"/>
      <c r="T327" s="600"/>
      <c r="U327" s="600">
        <f>ROUND(T326*M327,0)</f>
        <v>0</v>
      </c>
      <c r="V327" s="598"/>
    </row>
    <row r="328" spans="1:22" s="604" customFormat="1" x14ac:dyDescent="0.45">
      <c r="A328" s="598"/>
      <c r="B328" s="598"/>
      <c r="C328" s="598"/>
      <c r="D328" s="598"/>
      <c r="E328" s="599"/>
      <c r="F328" s="603"/>
      <c r="G328" s="599"/>
      <c r="H328" s="600"/>
      <c r="I328" s="601"/>
      <c r="J328" s="601"/>
      <c r="K328" s="598"/>
      <c r="L328" s="598" t="s">
        <v>499</v>
      </c>
      <c r="M328" s="602">
        <v>0.5</v>
      </c>
      <c r="N328" s="602"/>
      <c r="O328" s="600">
        <f>ROUND(H326*M328,0)</f>
        <v>1</v>
      </c>
      <c r="P328" s="600">
        <f>O327-O328</f>
        <v>0</v>
      </c>
      <c r="Q328" s="598"/>
      <c r="R328" s="598"/>
      <c r="S328" s="598"/>
      <c r="T328" s="600"/>
      <c r="U328" s="600">
        <f>ROUND(T326*M328,0)</f>
        <v>0</v>
      </c>
      <c r="V328" s="598"/>
    </row>
    <row r="329" spans="1:22" s="604" customFormat="1" x14ac:dyDescent="0.45">
      <c r="A329" s="598"/>
      <c r="B329" s="598"/>
      <c r="C329" s="598"/>
      <c r="D329" s="598"/>
      <c r="E329" s="599"/>
      <c r="F329" s="603"/>
      <c r="G329" s="599"/>
      <c r="H329" s="600"/>
      <c r="I329" s="601"/>
      <c r="J329" s="601"/>
      <c r="K329" s="598"/>
      <c r="L329" s="598" t="s">
        <v>495</v>
      </c>
      <c r="M329" s="602">
        <v>0</v>
      </c>
      <c r="N329" s="602"/>
      <c r="O329" s="600">
        <f>ROUND(H326*M329,0)</f>
        <v>0</v>
      </c>
      <c r="P329" s="600">
        <f>O327-O329</f>
        <v>1</v>
      </c>
      <c r="Q329" s="598"/>
      <c r="R329" s="598"/>
      <c r="S329" s="598"/>
      <c r="T329" s="600"/>
      <c r="U329" s="600">
        <f>ROUND(T326*M329,0)</f>
        <v>0</v>
      </c>
      <c r="V329" s="598"/>
    </row>
    <row r="330" spans="1:22" s="604" customFormat="1" x14ac:dyDescent="0.45">
      <c r="A330" s="598"/>
      <c r="B330" s="598"/>
      <c r="C330" s="598"/>
      <c r="D330" s="598"/>
      <c r="E330" s="599"/>
      <c r="F330" s="603"/>
      <c r="G330" s="599"/>
      <c r="H330" s="600"/>
      <c r="I330" s="601"/>
      <c r="J330" s="601"/>
      <c r="K330" s="598"/>
      <c r="L330" s="750"/>
      <c r="M330" s="602"/>
      <c r="N330" s="602"/>
      <c r="O330" s="602"/>
      <c r="P330" s="602"/>
      <c r="Q330" s="598"/>
      <c r="R330" s="598"/>
      <c r="S330" s="598"/>
      <c r="T330" s="600"/>
      <c r="U330" s="598"/>
      <c r="V330" s="598"/>
    </row>
    <row r="331" spans="1:22" s="604" customFormat="1" ht="213.75" x14ac:dyDescent="0.45">
      <c r="A331" s="598"/>
      <c r="B331" s="598" t="s">
        <v>747</v>
      </c>
      <c r="C331" s="598" t="s">
        <v>554</v>
      </c>
      <c r="D331" s="598" t="s">
        <v>698</v>
      </c>
      <c r="E331" s="599">
        <f>DGNBvægtning!I151</f>
        <v>1.3554216867469879E-3</v>
      </c>
      <c r="F331" s="600">
        <f>$F$166*G331</f>
        <v>0.28736479118158509</v>
      </c>
      <c r="G331" s="599">
        <f>E331/$E$166</f>
        <v>5.7472958236317014E-3</v>
      </c>
      <c r="H331" s="600">
        <v>1</v>
      </c>
      <c r="I331" s="601" t="s">
        <v>492</v>
      </c>
      <c r="J331" s="601"/>
      <c r="K331" s="598" t="s">
        <v>1018</v>
      </c>
      <c r="L331" s="598"/>
      <c r="M331" s="602"/>
      <c r="N331" s="603">
        <f>IF('Sortering af spørgsmål'!$C$22=Projektforudsætninger!$C$20,'Dialogpart 1'!$J$100,IF('Sortering af spørgsmål'!$C$22=Projektforudsætninger!$C$21,'Dialogpart 2'!$J$100,IF('Sortering af spørgsmål'!$C$22=Projektforudsætninger!$C$22,'Dialogpart 3'!$J$100,IF('Sortering af spørgsmål'!$C$22=Projektforudsætninger!$C$23,'Dialogpart 4'!$J$100,IF('Sortering af spørgsmål'!$C$22=Projektforudsætninger!$C$24,'Dialogpart 5'!$J$100,IF('Sortering af spørgsmål'!$C$22=Projektforudsætninger!$C$25,'Dialogpart 6'!$J$100,IF('Sortering af spørgsmål'!$C$22=Projektforudsætninger!$C$22,'Dialogpart 7'!$J$100,IF('Sortering af spørgsmål'!$C$22=Projektforudsætninger!$C$23,#REF!,IF('Sortering af spørgsmål'!$C$22=Projektforudsætninger!$C$24,#REF!,IF('Sortering af spørgsmål'!$C$22=Projektforudsætninger!$C$25,#REF!,0))))))))))</f>
        <v>0</v>
      </c>
      <c r="O331" s="603"/>
      <c r="P331" s="603"/>
      <c r="Q331" s="598"/>
      <c r="R331" s="599">
        <f>'Sortering af spørgsmål'!$E$22*(Arbejdsark!E331/SUM($E$300:$E$371))</f>
        <v>3.7688442211055275E-3</v>
      </c>
      <c r="S331" s="599">
        <f>R331/$R$166</f>
        <v>9.4221105527638148E-3</v>
      </c>
      <c r="T331" s="600">
        <f>$T$166*S331</f>
        <v>0.47110552763819075</v>
      </c>
      <c r="U331" s="598"/>
      <c r="V331" s="598"/>
    </row>
    <row r="332" spans="1:22" s="604" customFormat="1" x14ac:dyDescent="0.45">
      <c r="A332" s="598"/>
      <c r="B332" s="598"/>
      <c r="C332" s="598"/>
      <c r="D332" s="598"/>
      <c r="E332" s="599"/>
      <c r="F332" s="603"/>
      <c r="G332" s="599"/>
      <c r="H332" s="600"/>
      <c r="I332" s="601"/>
      <c r="J332" s="601"/>
      <c r="K332" s="598"/>
      <c r="L332" s="598" t="s">
        <v>498</v>
      </c>
      <c r="M332" s="602">
        <v>1</v>
      </c>
      <c r="N332" s="602"/>
      <c r="O332" s="600">
        <f>ROUND(H331*M332,0)</f>
        <v>1</v>
      </c>
      <c r="P332" s="600">
        <f>O332-O332</f>
        <v>0</v>
      </c>
      <c r="Q332" s="598"/>
      <c r="R332" s="598"/>
      <c r="S332" s="598"/>
      <c r="T332" s="600"/>
      <c r="U332" s="600">
        <f>ROUND(T331*M332,0)</f>
        <v>0</v>
      </c>
      <c r="V332" s="598"/>
    </row>
    <row r="333" spans="1:22" s="604" customFormat="1" x14ac:dyDescent="0.45">
      <c r="A333" s="598"/>
      <c r="B333" s="598"/>
      <c r="C333" s="598"/>
      <c r="D333" s="598"/>
      <c r="E333" s="599"/>
      <c r="F333" s="603"/>
      <c r="G333" s="599"/>
      <c r="H333" s="600"/>
      <c r="I333" s="601"/>
      <c r="J333" s="601"/>
      <c r="K333" s="598"/>
      <c r="L333" s="598" t="s">
        <v>499</v>
      </c>
      <c r="M333" s="602">
        <v>0.5</v>
      </c>
      <c r="N333" s="602"/>
      <c r="O333" s="600">
        <f>ROUND(H331*M333,0)</f>
        <v>1</v>
      </c>
      <c r="P333" s="600">
        <f>O332-O333</f>
        <v>0</v>
      </c>
      <c r="Q333" s="598"/>
      <c r="R333" s="598"/>
      <c r="S333" s="598"/>
      <c r="T333" s="600"/>
      <c r="U333" s="600">
        <f>ROUND(T331*M333,0)</f>
        <v>0</v>
      </c>
      <c r="V333" s="598"/>
    </row>
    <row r="334" spans="1:22" s="604" customFormat="1" x14ac:dyDescent="0.45">
      <c r="A334" s="598"/>
      <c r="B334" s="598"/>
      <c r="C334" s="598"/>
      <c r="D334" s="598"/>
      <c r="E334" s="599"/>
      <c r="F334" s="603"/>
      <c r="G334" s="599"/>
      <c r="H334" s="600"/>
      <c r="I334" s="601"/>
      <c r="J334" s="601"/>
      <c r="K334" s="598"/>
      <c r="L334" s="598" t="s">
        <v>495</v>
      </c>
      <c r="M334" s="602">
        <v>0</v>
      </c>
      <c r="N334" s="602"/>
      <c r="O334" s="600">
        <f>ROUND(H331*M334,0)</f>
        <v>0</v>
      </c>
      <c r="P334" s="600">
        <f>O332-O334</f>
        <v>1</v>
      </c>
      <c r="Q334" s="598"/>
      <c r="R334" s="598"/>
      <c r="S334" s="598"/>
      <c r="T334" s="600"/>
      <c r="U334" s="600">
        <f>ROUND(T331*M334,0)</f>
        <v>0</v>
      </c>
      <c r="V334" s="598"/>
    </row>
    <row r="335" spans="1:22" s="604" customFormat="1" ht="28.5" x14ac:dyDescent="0.45">
      <c r="A335" s="598"/>
      <c r="B335" s="598"/>
      <c r="C335" s="598"/>
      <c r="D335" s="598"/>
      <c r="E335" s="599"/>
      <c r="F335" s="603"/>
      <c r="G335" s="599"/>
      <c r="H335" s="600"/>
      <c r="I335" s="601"/>
      <c r="J335" s="601"/>
      <c r="K335" s="598"/>
      <c r="L335" s="598" t="s">
        <v>512</v>
      </c>
      <c r="M335" s="602"/>
      <c r="N335" s="602"/>
      <c r="O335" s="602"/>
      <c r="P335" s="602"/>
      <c r="Q335" s="598"/>
      <c r="R335" s="598"/>
      <c r="S335" s="598"/>
      <c r="T335" s="600"/>
      <c r="U335" s="598"/>
      <c r="V335" s="598"/>
    </row>
    <row r="336" spans="1:22" s="604" customFormat="1" ht="259.5" customHeight="1" x14ac:dyDescent="0.45">
      <c r="A336" s="598"/>
      <c r="B336" s="598" t="s">
        <v>748</v>
      </c>
      <c r="C336" s="598" t="s">
        <v>555</v>
      </c>
      <c r="D336" s="598" t="s">
        <v>906</v>
      </c>
      <c r="E336" s="599">
        <f>DGNBvægtning!I152</f>
        <v>9.0361445783132533E-4</v>
      </c>
      <c r="F336" s="600">
        <f>$F$166*G336</f>
        <v>0.19157652745439005</v>
      </c>
      <c r="G336" s="599">
        <f>E336/$E$166</f>
        <v>3.8315305490878009E-3</v>
      </c>
      <c r="H336" s="600">
        <v>1</v>
      </c>
      <c r="I336" s="601" t="s">
        <v>492</v>
      </c>
      <c r="J336" s="601"/>
      <c r="K336" s="751" t="s">
        <v>1019</v>
      </c>
      <c r="L336" s="750"/>
      <c r="M336" s="602"/>
      <c r="N336" s="603">
        <f>IF('Sortering af spørgsmål'!$C$22=Projektforudsætninger!$C$20,'Dialogpart 1'!$J$101,IF('Sortering af spørgsmål'!$C$22=Projektforudsætninger!$C$21,'Dialogpart 2'!$J$101,IF('Sortering af spørgsmål'!$C$22=Projektforudsætninger!$C$22,'Dialogpart 3'!$J$101,IF('Sortering af spørgsmål'!$C$22=Projektforudsætninger!$C$23,'Dialogpart 4'!$J$101,IF('Sortering af spørgsmål'!$C$22=Projektforudsætninger!$C$24,'Dialogpart 5'!$J$101,IF('Sortering af spørgsmål'!$C$22=Projektforudsætninger!$C$25,'Dialogpart 6'!$J$101,IF('Sortering af spørgsmål'!$C$22=Projektforudsætninger!$C$22,'Dialogpart 7'!$J$101,IF('Sortering af spørgsmål'!$C$22=Projektforudsætninger!$C$23,#REF!,IF('Sortering af spørgsmål'!$C$22=Projektforudsætninger!$C$24,#REF!,IF('Sortering af spørgsmål'!$C$22=Projektforudsætninger!$C$25,#REF!,0))))))))))</f>
        <v>0</v>
      </c>
      <c r="O336" s="603"/>
      <c r="P336" s="603"/>
      <c r="Q336" s="598"/>
      <c r="R336" s="599">
        <f>'Sortering af spørgsmål'!$E$22*(Arbejdsark!E336/SUM($E$300:$E$371))</f>
        <v>2.5125628140703518E-3</v>
      </c>
      <c r="S336" s="599">
        <f>R336/$R$166</f>
        <v>6.2814070351758771E-3</v>
      </c>
      <c r="T336" s="600">
        <f>$T$166*S336</f>
        <v>0.31407035175879383</v>
      </c>
      <c r="U336" s="598"/>
      <c r="V336" s="598"/>
    </row>
    <row r="337" spans="1:22" s="604" customFormat="1" x14ac:dyDescent="0.45">
      <c r="A337" s="598"/>
      <c r="B337" s="598"/>
      <c r="C337" s="598"/>
      <c r="D337" s="598"/>
      <c r="E337" s="599"/>
      <c r="F337" s="603"/>
      <c r="G337" s="599"/>
      <c r="H337" s="600"/>
      <c r="I337" s="601"/>
      <c r="J337" s="601"/>
      <c r="K337" s="750"/>
      <c r="L337" s="750" t="s">
        <v>498</v>
      </c>
      <c r="M337" s="602">
        <v>1</v>
      </c>
      <c r="N337" s="602"/>
      <c r="O337" s="600">
        <f>ROUND(H336*M337,0)</f>
        <v>1</v>
      </c>
      <c r="P337" s="600">
        <f>O337-O337</f>
        <v>0</v>
      </c>
      <c r="Q337" s="598"/>
      <c r="R337" s="598"/>
      <c r="S337" s="598"/>
      <c r="T337" s="600"/>
      <c r="U337" s="600">
        <f>ROUND(T336*M337,0)</f>
        <v>0</v>
      </c>
      <c r="V337" s="598"/>
    </row>
    <row r="338" spans="1:22" s="604" customFormat="1" x14ac:dyDescent="0.45">
      <c r="A338" s="598"/>
      <c r="B338" s="598"/>
      <c r="C338" s="598"/>
      <c r="D338" s="598"/>
      <c r="E338" s="599"/>
      <c r="F338" s="603"/>
      <c r="G338" s="599"/>
      <c r="H338" s="600"/>
      <c r="I338" s="601"/>
      <c r="J338" s="601"/>
      <c r="K338" s="750"/>
      <c r="L338" s="750" t="s">
        <v>499</v>
      </c>
      <c r="M338" s="602">
        <v>0.5</v>
      </c>
      <c r="N338" s="602"/>
      <c r="O338" s="600">
        <f>ROUND(H336*M338,0)</f>
        <v>1</v>
      </c>
      <c r="P338" s="600">
        <f>O337-O338</f>
        <v>0</v>
      </c>
      <c r="Q338" s="598"/>
      <c r="R338" s="598"/>
      <c r="S338" s="598"/>
      <c r="T338" s="600"/>
      <c r="U338" s="600">
        <f>ROUND(T336*M338,0)</f>
        <v>0</v>
      </c>
      <c r="V338" s="598"/>
    </row>
    <row r="339" spans="1:22" s="604" customFormat="1" x14ac:dyDescent="0.45">
      <c r="A339" s="598"/>
      <c r="B339" s="598"/>
      <c r="C339" s="598"/>
      <c r="D339" s="598"/>
      <c r="E339" s="599"/>
      <c r="F339" s="603"/>
      <c r="G339" s="599"/>
      <c r="H339" s="600"/>
      <c r="I339" s="601"/>
      <c r="J339" s="601"/>
      <c r="K339" s="750"/>
      <c r="L339" s="750" t="s">
        <v>495</v>
      </c>
      <c r="M339" s="602">
        <v>0</v>
      </c>
      <c r="N339" s="602"/>
      <c r="O339" s="600">
        <f>ROUND(H336*M339,0)</f>
        <v>0</v>
      </c>
      <c r="P339" s="600">
        <f>O337-O339</f>
        <v>1</v>
      </c>
      <c r="Q339" s="598"/>
      <c r="R339" s="598"/>
      <c r="S339" s="598"/>
      <c r="T339" s="600"/>
      <c r="U339" s="600">
        <f>ROUND(T336*M339,0)</f>
        <v>0</v>
      </c>
      <c r="V339" s="598"/>
    </row>
    <row r="340" spans="1:22" s="604" customFormat="1" x14ac:dyDescent="0.45">
      <c r="A340" s="598"/>
      <c r="B340" s="598"/>
      <c r="C340" s="598"/>
      <c r="D340" s="598"/>
      <c r="E340" s="599"/>
      <c r="F340" s="603"/>
      <c r="G340" s="599"/>
      <c r="H340" s="600"/>
      <c r="I340" s="601"/>
      <c r="J340" s="601"/>
      <c r="K340" s="750"/>
      <c r="L340" s="750"/>
      <c r="M340" s="602"/>
      <c r="N340" s="602"/>
      <c r="O340" s="602"/>
      <c r="P340" s="602"/>
      <c r="Q340" s="598"/>
      <c r="R340" s="598"/>
      <c r="S340" s="598"/>
      <c r="T340" s="600"/>
      <c r="U340" s="598"/>
      <c r="V340" s="598"/>
    </row>
    <row r="341" spans="1:22" s="604" customFormat="1" ht="199.5" x14ac:dyDescent="0.45">
      <c r="A341" s="598"/>
      <c r="B341" s="598" t="s">
        <v>749</v>
      </c>
      <c r="C341" s="598" t="s">
        <v>556</v>
      </c>
      <c r="D341" s="598" t="s">
        <v>907</v>
      </c>
      <c r="E341" s="599">
        <f>DGNBvægtning!I160</f>
        <v>1.3554216867469879E-3</v>
      </c>
      <c r="F341" s="600">
        <f>$F$166*G341</f>
        <v>0.28736479118158509</v>
      </c>
      <c r="G341" s="599">
        <f>E341/$E$166</f>
        <v>5.7472958236317014E-3</v>
      </c>
      <c r="H341" s="600">
        <v>1</v>
      </c>
      <c r="I341" s="601" t="s">
        <v>492</v>
      </c>
      <c r="J341" s="601"/>
      <c r="K341" s="598" t="s">
        <v>1020</v>
      </c>
      <c r="L341" s="598"/>
      <c r="M341" s="602"/>
      <c r="N341" s="603">
        <f>IF('Sortering af spørgsmål'!$C$22=Projektforudsætninger!$C$20,'Dialogpart 1'!$J$102,IF('Sortering af spørgsmål'!$C$22=Projektforudsætninger!$C$21,'Dialogpart 2'!$J$102,IF('Sortering af spørgsmål'!$C$22=Projektforudsætninger!$C$22,'Dialogpart 3'!$J$102,IF('Sortering af spørgsmål'!$C$22=Projektforudsætninger!$C$23,'Dialogpart 4'!$J$102,IF('Sortering af spørgsmål'!$C$22=Projektforudsætninger!$C$24,'Dialogpart 5'!$J$102,IF('Sortering af spørgsmål'!$C$22=Projektforudsætninger!$C$25,'Dialogpart 6'!$J$102,IF('Sortering af spørgsmål'!$C$22=Projektforudsætninger!$C$22,'Dialogpart 7'!$J$102,IF('Sortering af spørgsmål'!$C$22=Projektforudsætninger!$C$23,#REF!,IF('Sortering af spørgsmål'!$C$22=Projektforudsætninger!$C$24,#REF!,IF('Sortering af spørgsmål'!$C$22=Projektforudsætninger!$C$25,#REF!,0))))))))))</f>
        <v>0</v>
      </c>
      <c r="O341" s="603"/>
      <c r="P341" s="603"/>
      <c r="Q341" s="598"/>
      <c r="R341" s="599">
        <f>'Sortering af spørgsmål'!$E$22*(Arbejdsark!E341/SUM($E$300:$E$371))</f>
        <v>3.7688442211055275E-3</v>
      </c>
      <c r="S341" s="599">
        <f>R341/$R$166</f>
        <v>9.4221105527638148E-3</v>
      </c>
      <c r="T341" s="600">
        <f>$T$166*S341</f>
        <v>0.47110552763819075</v>
      </c>
      <c r="U341" s="598"/>
      <c r="V341" s="598"/>
    </row>
    <row r="342" spans="1:22" s="604" customFormat="1" x14ac:dyDescent="0.45">
      <c r="A342" s="598"/>
      <c r="B342" s="598"/>
      <c r="C342" s="598"/>
      <c r="D342" s="598"/>
      <c r="E342" s="599"/>
      <c r="F342" s="603"/>
      <c r="G342" s="599"/>
      <c r="H342" s="600"/>
      <c r="I342" s="601"/>
      <c r="J342" s="601"/>
      <c r="K342" s="598"/>
      <c r="L342" s="598" t="s">
        <v>498</v>
      </c>
      <c r="M342" s="602">
        <v>1</v>
      </c>
      <c r="N342" s="602"/>
      <c r="O342" s="600">
        <f>ROUND(H341*M342,0)</f>
        <v>1</v>
      </c>
      <c r="P342" s="600">
        <f>O342-O342</f>
        <v>0</v>
      </c>
      <c r="Q342" s="598"/>
      <c r="R342" s="598"/>
      <c r="S342" s="598"/>
      <c r="T342" s="600"/>
      <c r="U342" s="600">
        <f>ROUND(T341*M342,0)</f>
        <v>0</v>
      </c>
      <c r="V342" s="598"/>
    </row>
    <row r="343" spans="1:22" s="604" customFormat="1" x14ac:dyDescent="0.45">
      <c r="A343" s="598"/>
      <c r="B343" s="598"/>
      <c r="C343" s="598"/>
      <c r="D343" s="598"/>
      <c r="E343" s="599"/>
      <c r="F343" s="603"/>
      <c r="G343" s="599"/>
      <c r="H343" s="600"/>
      <c r="I343" s="601"/>
      <c r="J343" s="601"/>
      <c r="K343" s="598"/>
      <c r="L343" s="598" t="s">
        <v>499</v>
      </c>
      <c r="M343" s="602">
        <v>0.5</v>
      </c>
      <c r="N343" s="602"/>
      <c r="O343" s="600">
        <f>ROUND(H341*M343,0)</f>
        <v>1</v>
      </c>
      <c r="P343" s="600">
        <f>O342-O343</f>
        <v>0</v>
      </c>
      <c r="Q343" s="598"/>
      <c r="R343" s="598"/>
      <c r="S343" s="598"/>
      <c r="T343" s="600"/>
      <c r="U343" s="600">
        <f>ROUND(T341*M343,0)</f>
        <v>0</v>
      </c>
      <c r="V343" s="598"/>
    </row>
    <row r="344" spans="1:22" s="604" customFormat="1" x14ac:dyDescent="0.45">
      <c r="A344" s="598"/>
      <c r="B344" s="598"/>
      <c r="C344" s="598"/>
      <c r="D344" s="598"/>
      <c r="E344" s="599"/>
      <c r="F344" s="603"/>
      <c r="G344" s="599"/>
      <c r="H344" s="600"/>
      <c r="I344" s="601"/>
      <c r="J344" s="601"/>
      <c r="K344" s="598"/>
      <c r="L344" s="598" t="s">
        <v>495</v>
      </c>
      <c r="M344" s="602">
        <v>0</v>
      </c>
      <c r="N344" s="602"/>
      <c r="O344" s="600">
        <f>ROUND(H341*M344,0)</f>
        <v>0</v>
      </c>
      <c r="P344" s="600">
        <f>O342-O344</f>
        <v>1</v>
      </c>
      <c r="Q344" s="598"/>
      <c r="R344" s="598"/>
      <c r="S344" s="598"/>
      <c r="T344" s="600"/>
      <c r="U344" s="600">
        <f>ROUND(T341*M344,0)</f>
        <v>0</v>
      </c>
      <c r="V344" s="598"/>
    </row>
    <row r="345" spans="1:22" s="604" customFormat="1" x14ac:dyDescent="0.45">
      <c r="A345" s="598"/>
      <c r="B345" s="598"/>
      <c r="C345" s="598"/>
      <c r="D345" s="598"/>
      <c r="E345" s="599"/>
      <c r="F345" s="603"/>
      <c r="G345" s="599"/>
      <c r="H345" s="600"/>
      <c r="I345" s="601"/>
      <c r="J345" s="601"/>
      <c r="K345" s="598"/>
      <c r="L345" s="598"/>
      <c r="M345" s="602"/>
      <c r="N345" s="602"/>
      <c r="O345" s="602"/>
      <c r="P345" s="602"/>
      <c r="Q345" s="598"/>
      <c r="R345" s="598"/>
      <c r="S345" s="598"/>
      <c r="T345" s="600"/>
      <c r="U345" s="598"/>
      <c r="V345" s="598"/>
    </row>
    <row r="346" spans="1:22" s="604" customFormat="1" ht="171" x14ac:dyDescent="0.45">
      <c r="A346" s="598"/>
      <c r="B346" s="598" t="s">
        <v>750</v>
      </c>
      <c r="C346" s="598" t="s">
        <v>557</v>
      </c>
      <c r="D346" s="598" t="s">
        <v>884</v>
      </c>
      <c r="E346" s="599">
        <f>DGNBvægtning!I154*0.5</f>
        <v>1.1295180722891566E-3</v>
      </c>
      <c r="F346" s="600">
        <f>$F$166*G346</f>
        <v>0.23947065931798753</v>
      </c>
      <c r="G346" s="599">
        <f>E346/$E$166</f>
        <v>4.7894131863597507E-3</v>
      </c>
      <c r="H346" s="600">
        <v>1</v>
      </c>
      <c r="I346" s="601" t="s">
        <v>492</v>
      </c>
      <c r="J346" s="601"/>
      <c r="K346" s="598" t="s">
        <v>1021</v>
      </c>
      <c r="L346" s="598"/>
      <c r="M346" s="602"/>
      <c r="N346" s="603">
        <f>IF('Sortering af spørgsmål'!$C$22=Projektforudsætninger!$C$20,'Dialogpart 1'!$J$103,IF('Sortering af spørgsmål'!$C$22=Projektforudsætninger!$C$21,'Dialogpart 2'!$J$103,IF('Sortering af spørgsmål'!$C$22=Projektforudsætninger!$C$22,'Dialogpart 3'!$J$103,IF('Sortering af spørgsmål'!$C$22=Projektforudsætninger!$C$23,'Dialogpart 4'!$J$103,IF('Sortering af spørgsmål'!$C$22=Projektforudsætninger!$C$24,'Dialogpart 5'!$J$103,IF('Sortering af spørgsmål'!$C$22=Projektforudsætninger!$C$25,'Dialogpart 6'!$J$103,IF('Sortering af spørgsmål'!$C$22=Projektforudsætninger!$C$22,'Dialogpart 7'!$J$103,IF('Sortering af spørgsmål'!$C$22=Projektforudsætninger!$C$23,#REF!,IF('Sortering af spørgsmål'!$C$22=Projektforudsætninger!$C$24,#REF!,IF('Sortering af spørgsmål'!$C$22=Projektforudsætninger!$C$25,#REF!,0))))))))))</f>
        <v>0</v>
      </c>
      <c r="O346" s="603"/>
      <c r="P346" s="603"/>
      <c r="Q346" s="598"/>
      <c r="R346" s="599">
        <f>'Sortering af spørgsmål'!$E$22*(Arbejdsark!E346/SUM($E$300:$E$371))</f>
        <v>3.1407035175879394E-3</v>
      </c>
      <c r="S346" s="599">
        <f>R346/$R$166</f>
        <v>7.8517587939698451E-3</v>
      </c>
      <c r="T346" s="600">
        <f>$T$166*S346</f>
        <v>0.39258793969849226</v>
      </c>
      <c r="U346" s="598"/>
      <c r="V346" s="598"/>
    </row>
    <row r="347" spans="1:22" s="604" customFormat="1" x14ac:dyDescent="0.45">
      <c r="A347" s="598"/>
      <c r="B347" s="598"/>
      <c r="C347" s="598"/>
      <c r="D347" s="598"/>
      <c r="E347" s="599"/>
      <c r="F347" s="603"/>
      <c r="G347" s="599"/>
      <c r="H347" s="600"/>
      <c r="I347" s="601"/>
      <c r="J347" s="601"/>
      <c r="K347" s="598"/>
      <c r="L347" s="598" t="s">
        <v>498</v>
      </c>
      <c r="M347" s="602">
        <v>1</v>
      </c>
      <c r="N347" s="602"/>
      <c r="O347" s="600">
        <f>ROUND(H346*M347,0)</f>
        <v>1</v>
      </c>
      <c r="P347" s="600">
        <f>O347-O347</f>
        <v>0</v>
      </c>
      <c r="Q347" s="598"/>
      <c r="R347" s="598"/>
      <c r="S347" s="598"/>
      <c r="T347" s="600"/>
      <c r="U347" s="600">
        <f>ROUND(T346*M347,0)</f>
        <v>0</v>
      </c>
      <c r="V347" s="598"/>
    </row>
    <row r="348" spans="1:22" s="604" customFormat="1" x14ac:dyDescent="0.45">
      <c r="A348" s="598"/>
      <c r="B348" s="598"/>
      <c r="C348" s="598"/>
      <c r="D348" s="598"/>
      <c r="E348" s="599"/>
      <c r="F348" s="603"/>
      <c r="G348" s="599"/>
      <c r="H348" s="600"/>
      <c r="I348" s="601"/>
      <c r="J348" s="601"/>
      <c r="K348" s="598"/>
      <c r="L348" s="598" t="s">
        <v>499</v>
      </c>
      <c r="M348" s="602">
        <f>5/7.5</f>
        <v>0.66666666666666663</v>
      </c>
      <c r="N348" s="602"/>
      <c r="O348" s="600">
        <f>ROUND(H346*M348,0)</f>
        <v>1</v>
      </c>
      <c r="P348" s="600">
        <f>O347-O348</f>
        <v>0</v>
      </c>
      <c r="Q348" s="598"/>
      <c r="R348" s="598"/>
      <c r="S348" s="598"/>
      <c r="T348" s="600"/>
      <c r="U348" s="600">
        <f>ROUND(T346*M348,0)</f>
        <v>0</v>
      </c>
      <c r="V348" s="598"/>
    </row>
    <row r="349" spans="1:22" s="604" customFormat="1" x14ac:dyDescent="0.45">
      <c r="A349" s="598"/>
      <c r="B349" s="598"/>
      <c r="C349" s="598"/>
      <c r="D349" s="598"/>
      <c r="E349" s="599"/>
      <c r="F349" s="603"/>
      <c r="G349" s="599"/>
      <c r="H349" s="600"/>
      <c r="I349" s="601"/>
      <c r="J349" s="601"/>
      <c r="K349" s="598"/>
      <c r="L349" s="598" t="s">
        <v>495</v>
      </c>
      <c r="M349" s="602">
        <f>1/7.5</f>
        <v>0.13333333333333333</v>
      </c>
      <c r="N349" s="602"/>
      <c r="O349" s="600">
        <f>ROUND(H346*M349,0)</f>
        <v>0</v>
      </c>
      <c r="P349" s="600">
        <f>O347-O349</f>
        <v>1</v>
      </c>
      <c r="Q349" s="598"/>
      <c r="R349" s="598"/>
      <c r="S349" s="598"/>
      <c r="T349" s="600"/>
      <c r="U349" s="600">
        <f>ROUND(T346*M349,0)</f>
        <v>0</v>
      </c>
      <c r="V349" s="598"/>
    </row>
    <row r="350" spans="1:22" s="604" customFormat="1" x14ac:dyDescent="0.45">
      <c r="A350" s="598"/>
      <c r="B350" s="598"/>
      <c r="C350" s="598"/>
      <c r="D350" s="598"/>
      <c r="E350" s="599"/>
      <c r="F350" s="603"/>
      <c r="G350" s="599"/>
      <c r="H350" s="600"/>
      <c r="I350" s="601"/>
      <c r="J350" s="601"/>
      <c r="K350" s="598"/>
      <c r="L350" s="598"/>
      <c r="M350" s="602"/>
      <c r="N350" s="602"/>
      <c r="O350" s="602"/>
      <c r="P350" s="602"/>
      <c r="Q350" s="598"/>
      <c r="R350" s="598"/>
      <c r="S350" s="598"/>
      <c r="T350" s="600"/>
      <c r="U350" s="598"/>
      <c r="V350" s="598"/>
    </row>
    <row r="351" spans="1:22" s="604" customFormat="1" ht="156.75" x14ac:dyDescent="0.45">
      <c r="A351" s="598"/>
      <c r="B351" s="598" t="s">
        <v>751</v>
      </c>
      <c r="C351" s="598" t="s">
        <v>558</v>
      </c>
      <c r="D351" s="598" t="s">
        <v>884</v>
      </c>
      <c r="E351" s="599">
        <f>DGNBvægtning!I154*0.5</f>
        <v>1.1295180722891566E-3</v>
      </c>
      <c r="F351" s="600">
        <f>$F$166*G351</f>
        <v>0.23947065931798753</v>
      </c>
      <c r="G351" s="599">
        <f>E351/$E$166</f>
        <v>4.7894131863597507E-3</v>
      </c>
      <c r="H351" s="600">
        <v>1</v>
      </c>
      <c r="I351" s="601" t="s">
        <v>492</v>
      </c>
      <c r="J351" s="601"/>
      <c r="K351" s="598" t="s">
        <v>1022</v>
      </c>
      <c r="L351" s="598"/>
      <c r="M351" s="602"/>
      <c r="N351" s="603">
        <f>IF('Sortering af spørgsmål'!$C$22=Projektforudsætninger!$C$20,'Dialogpart 1'!$J$104,IF('Sortering af spørgsmål'!$C$22=Projektforudsætninger!$C$21,'Dialogpart 2'!$J$104,IF('Sortering af spørgsmål'!$C$22=Projektforudsætninger!$C$22,'Dialogpart 3'!$J$104,IF('Sortering af spørgsmål'!$C$22=Projektforudsætninger!$C$23,'Dialogpart 4'!$J$104,IF('Sortering af spørgsmål'!$C$22=Projektforudsætninger!$C$24,'Dialogpart 5'!$J$104,IF('Sortering af spørgsmål'!$C$22=Projektforudsætninger!$C$25,'Dialogpart 6'!$J$104,IF('Sortering af spørgsmål'!$C$22=Projektforudsætninger!$C$22,'Dialogpart 7'!$J$104,IF('Sortering af spørgsmål'!$C$22=Projektforudsætninger!$C$23,#REF!,IF('Sortering af spørgsmål'!$C$22=Projektforudsætninger!$C$24,#REF!,IF('Sortering af spørgsmål'!$C$22=Projektforudsætninger!$C$25,#REF!,0))))))))))</f>
        <v>0</v>
      </c>
      <c r="O351" s="603"/>
      <c r="P351" s="603"/>
      <c r="Q351" s="598"/>
      <c r="R351" s="599">
        <f>'Sortering af spørgsmål'!$E$22*(Arbejdsark!E351/SUM($E$300:$E$371))</f>
        <v>3.1407035175879394E-3</v>
      </c>
      <c r="S351" s="599">
        <f>R351/$R$166</f>
        <v>7.8517587939698451E-3</v>
      </c>
      <c r="T351" s="600">
        <f>$T$166*S351</f>
        <v>0.39258793969849226</v>
      </c>
      <c r="U351" s="598"/>
      <c r="V351" s="598"/>
    </row>
    <row r="352" spans="1:22" s="604" customFormat="1" x14ac:dyDescent="0.45">
      <c r="A352" s="598"/>
      <c r="B352" s="598"/>
      <c r="C352" s="598"/>
      <c r="D352" s="598"/>
      <c r="E352" s="599"/>
      <c r="F352" s="603"/>
      <c r="G352" s="599"/>
      <c r="H352" s="600"/>
      <c r="I352" s="601"/>
      <c r="J352" s="601"/>
      <c r="K352" s="598"/>
      <c r="L352" s="598" t="s">
        <v>498</v>
      </c>
      <c r="M352" s="602">
        <v>1</v>
      </c>
      <c r="N352" s="602"/>
      <c r="O352" s="600">
        <f>ROUND(H351*M352,0)</f>
        <v>1</v>
      </c>
      <c r="P352" s="600">
        <f>O352-O352</f>
        <v>0</v>
      </c>
      <c r="Q352" s="598"/>
      <c r="R352" s="598"/>
      <c r="S352" s="598"/>
      <c r="T352" s="600"/>
      <c r="U352" s="600">
        <f>ROUND(T351*M352,0)</f>
        <v>0</v>
      </c>
      <c r="V352" s="598"/>
    </row>
    <row r="353" spans="1:22" s="604" customFormat="1" x14ac:dyDescent="0.45">
      <c r="A353" s="598"/>
      <c r="B353" s="598"/>
      <c r="C353" s="598"/>
      <c r="D353" s="598"/>
      <c r="E353" s="599"/>
      <c r="F353" s="603"/>
      <c r="G353" s="599"/>
      <c r="H353" s="600"/>
      <c r="I353" s="601"/>
      <c r="J353" s="601"/>
      <c r="K353" s="598"/>
      <c r="L353" s="598" t="s">
        <v>499</v>
      </c>
      <c r="M353" s="602">
        <f>5/7.5</f>
        <v>0.66666666666666663</v>
      </c>
      <c r="N353" s="602"/>
      <c r="O353" s="600">
        <f>ROUND(H351*M353,0)</f>
        <v>1</v>
      </c>
      <c r="P353" s="600">
        <f>O352-O353</f>
        <v>0</v>
      </c>
      <c r="Q353" s="598"/>
      <c r="R353" s="598"/>
      <c r="S353" s="598"/>
      <c r="T353" s="600"/>
      <c r="U353" s="600">
        <f>ROUND(T351*M353,0)</f>
        <v>0</v>
      </c>
      <c r="V353" s="598"/>
    </row>
    <row r="354" spans="1:22" s="604" customFormat="1" x14ac:dyDescent="0.45">
      <c r="A354" s="598"/>
      <c r="B354" s="598"/>
      <c r="C354" s="598"/>
      <c r="D354" s="598"/>
      <c r="E354" s="599"/>
      <c r="F354" s="603"/>
      <c r="G354" s="599"/>
      <c r="H354" s="600"/>
      <c r="I354" s="601"/>
      <c r="J354" s="601"/>
      <c r="K354" s="598"/>
      <c r="L354" s="598" t="s">
        <v>495</v>
      </c>
      <c r="M354" s="602">
        <f>1/7.5</f>
        <v>0.13333333333333333</v>
      </c>
      <c r="N354" s="602"/>
      <c r="O354" s="600">
        <f>ROUND(H351*M354,0)</f>
        <v>0</v>
      </c>
      <c r="P354" s="600">
        <f>O352-O354</f>
        <v>1</v>
      </c>
      <c r="Q354" s="598"/>
      <c r="R354" s="598"/>
      <c r="S354" s="598"/>
      <c r="T354" s="600"/>
      <c r="U354" s="600">
        <f>ROUND(T351*M354,0)</f>
        <v>0</v>
      </c>
      <c r="V354" s="598"/>
    </row>
    <row r="355" spans="1:22" s="604" customFormat="1" x14ac:dyDescent="0.45">
      <c r="A355" s="598"/>
      <c r="B355" s="598"/>
      <c r="C355" s="598"/>
      <c r="D355" s="598"/>
      <c r="E355" s="599"/>
      <c r="F355" s="603"/>
      <c r="G355" s="599"/>
      <c r="H355" s="600"/>
      <c r="I355" s="601"/>
      <c r="J355" s="601"/>
      <c r="K355" s="744"/>
      <c r="L355" s="598"/>
      <c r="M355" s="602"/>
      <c r="N355" s="602"/>
      <c r="O355" s="602"/>
      <c r="P355" s="602"/>
      <c r="Q355" s="598"/>
      <c r="R355" s="598"/>
      <c r="S355" s="598"/>
      <c r="T355" s="600"/>
      <c r="U355" s="598"/>
      <c r="V355" s="598"/>
    </row>
    <row r="356" spans="1:22" s="604" customFormat="1" ht="185.25" x14ac:dyDescent="0.45">
      <c r="A356" s="598"/>
      <c r="B356" s="598" t="s">
        <v>752</v>
      </c>
      <c r="C356" s="598" t="s">
        <v>559</v>
      </c>
      <c r="D356" s="598" t="s">
        <v>699</v>
      </c>
      <c r="E356" s="599">
        <f>DGNBvægtning!I161</f>
        <v>1.8072289156626507E-3</v>
      </c>
      <c r="F356" s="600">
        <f>$F$166*G356</f>
        <v>0.3831530549087801</v>
      </c>
      <c r="G356" s="599">
        <f>E356/$E$166</f>
        <v>7.6630610981756019E-3</v>
      </c>
      <c r="H356" s="600">
        <v>1</v>
      </c>
      <c r="I356" s="601" t="s">
        <v>492</v>
      </c>
      <c r="J356" s="601"/>
      <c r="K356" s="751" t="s">
        <v>1023</v>
      </c>
      <c r="L356" s="750"/>
      <c r="M356" s="602"/>
      <c r="N356" s="603">
        <f>IF('Sortering af spørgsmål'!$C$22=Projektforudsætninger!$C$20,'Dialogpart 1'!$J$105,IF('Sortering af spørgsmål'!$C$22=Projektforudsætninger!$C$21,'Dialogpart 2'!$J$105,IF('Sortering af spørgsmål'!$C$22=Projektforudsætninger!$C$22,'Dialogpart 3'!$J$105,IF('Sortering af spørgsmål'!$C$22=Projektforudsætninger!$C$23,'Dialogpart 4'!$J$105,IF('Sortering af spørgsmål'!$C$22=Projektforudsætninger!$C$24,'Dialogpart 5'!$J$105,IF('Sortering af spørgsmål'!$C$22=Projektforudsætninger!$C$25,'Dialogpart 6'!$J$105,IF('Sortering af spørgsmål'!$C$22=Projektforudsætninger!$C$22,'Dialogpart 7'!$J$105,IF('Sortering af spørgsmål'!$C$22=Projektforudsætninger!$C$23,#REF!,IF('Sortering af spørgsmål'!$C$22=Projektforudsætninger!$C$24,#REF!,IF('Sortering af spørgsmål'!$C$22=Projektforudsætninger!$C$25,#REF!,0))))))))))</f>
        <v>0</v>
      </c>
      <c r="O356" s="603"/>
      <c r="P356" s="603"/>
      <c r="Q356" s="598"/>
      <c r="R356" s="599">
        <f>'Sortering af spørgsmål'!$E$22*(Arbejdsark!E356/SUM($E$300:$E$371))</f>
        <v>5.0251256281407036E-3</v>
      </c>
      <c r="S356" s="599">
        <f>R356/$R$166</f>
        <v>1.2562814070351754E-2</v>
      </c>
      <c r="T356" s="600">
        <f>$T$166*S356</f>
        <v>0.62814070351758766</v>
      </c>
      <c r="U356" s="598"/>
      <c r="V356" s="598"/>
    </row>
    <row r="357" spans="1:22" s="604" customFormat="1" x14ac:dyDescent="0.45">
      <c r="A357" s="598"/>
      <c r="B357" s="598"/>
      <c r="C357" s="598"/>
      <c r="D357" s="598"/>
      <c r="E357" s="599"/>
      <c r="F357" s="603"/>
      <c r="G357" s="599"/>
      <c r="H357" s="600"/>
      <c r="I357" s="601"/>
      <c r="J357" s="601"/>
      <c r="K357" s="750"/>
      <c r="L357" s="750" t="s">
        <v>498</v>
      </c>
      <c r="M357" s="602">
        <v>1</v>
      </c>
      <c r="N357" s="603"/>
      <c r="O357" s="600">
        <f>ROUND(H356*M357,0)</f>
        <v>1</v>
      </c>
      <c r="P357" s="600">
        <f>O357-O357</f>
        <v>0</v>
      </c>
      <c r="Q357" s="598"/>
      <c r="R357" s="598"/>
      <c r="S357" s="598"/>
      <c r="T357" s="600"/>
      <c r="U357" s="600">
        <f>ROUND(T356*M357,0)</f>
        <v>1</v>
      </c>
      <c r="V357" s="598"/>
    </row>
    <row r="358" spans="1:22" s="604" customFormat="1" x14ac:dyDescent="0.45">
      <c r="A358" s="598"/>
      <c r="B358" s="598"/>
      <c r="C358" s="598"/>
      <c r="D358" s="598"/>
      <c r="E358" s="599"/>
      <c r="F358" s="603"/>
      <c r="G358" s="599"/>
      <c r="H358" s="600"/>
      <c r="I358" s="601"/>
      <c r="J358" s="601"/>
      <c r="K358" s="750"/>
      <c r="L358" s="750" t="s">
        <v>499</v>
      </c>
      <c r="M358" s="602">
        <v>0.5</v>
      </c>
      <c r="N358" s="603"/>
      <c r="O358" s="600">
        <f>ROUND(H356*M358,0)</f>
        <v>1</v>
      </c>
      <c r="P358" s="600">
        <f>O357-O358</f>
        <v>0</v>
      </c>
      <c r="Q358" s="598"/>
      <c r="R358" s="598"/>
      <c r="S358" s="598"/>
      <c r="T358" s="600"/>
      <c r="U358" s="600">
        <f>ROUND(T356*M358,0)</f>
        <v>0</v>
      </c>
      <c r="V358" s="598"/>
    </row>
    <row r="359" spans="1:22" s="604" customFormat="1" x14ac:dyDescent="0.45">
      <c r="A359" s="598"/>
      <c r="B359" s="598"/>
      <c r="C359" s="598"/>
      <c r="D359" s="598"/>
      <c r="E359" s="599"/>
      <c r="F359" s="603"/>
      <c r="G359" s="599"/>
      <c r="H359" s="600"/>
      <c r="I359" s="601"/>
      <c r="J359" s="601"/>
      <c r="K359" s="750"/>
      <c r="L359" s="750" t="s">
        <v>495</v>
      </c>
      <c r="M359" s="602">
        <v>0</v>
      </c>
      <c r="N359" s="602"/>
      <c r="O359" s="600">
        <f>ROUND(H356*M359,0)</f>
        <v>0</v>
      </c>
      <c r="P359" s="600">
        <f>O357-O359</f>
        <v>1</v>
      </c>
      <c r="Q359" s="598"/>
      <c r="R359" s="598"/>
      <c r="S359" s="598"/>
      <c r="T359" s="600"/>
      <c r="U359" s="600">
        <f>ROUND(T356*M359,0)</f>
        <v>0</v>
      </c>
      <c r="V359" s="598"/>
    </row>
    <row r="360" spans="1:22" s="604" customFormat="1" x14ac:dyDescent="0.45">
      <c r="A360" s="598"/>
      <c r="B360" s="598"/>
      <c r="C360" s="598"/>
      <c r="D360" s="598"/>
      <c r="E360" s="599"/>
      <c r="F360" s="603"/>
      <c r="G360" s="599"/>
      <c r="H360" s="600"/>
      <c r="I360" s="601"/>
      <c r="J360" s="601"/>
      <c r="K360" s="750"/>
      <c r="L360" s="750"/>
      <c r="M360" s="602"/>
      <c r="N360" s="602"/>
      <c r="O360" s="602"/>
      <c r="P360" s="602"/>
      <c r="Q360" s="598"/>
      <c r="R360" s="598"/>
      <c r="S360" s="598"/>
      <c r="T360" s="600"/>
      <c r="U360" s="598"/>
      <c r="V360" s="598"/>
    </row>
    <row r="361" spans="1:22" s="604" customFormat="1" ht="199.5" x14ac:dyDescent="0.45">
      <c r="A361" s="598"/>
      <c r="B361" s="598" t="s">
        <v>753</v>
      </c>
      <c r="C361" s="598" t="s">
        <v>694</v>
      </c>
      <c r="D361" s="598" t="s">
        <v>886</v>
      </c>
      <c r="E361" s="599">
        <f>DGNBvægtning!I157</f>
        <v>1.3554216867469879E-3</v>
      </c>
      <c r="F361" s="600">
        <f>$F$166*G361</f>
        <v>0.28736479118158509</v>
      </c>
      <c r="G361" s="599">
        <f>E361/$E$166</f>
        <v>5.7472958236317014E-3</v>
      </c>
      <c r="H361" s="600">
        <v>1</v>
      </c>
      <c r="I361" s="601" t="s">
        <v>492</v>
      </c>
      <c r="J361" s="601"/>
      <c r="K361" s="598" t="s">
        <v>1024</v>
      </c>
      <c r="L361" s="598"/>
      <c r="M361" s="602"/>
      <c r="N361" s="603">
        <f>IF('Sortering af spørgsmål'!$C$22=Projektforudsætninger!$C$20,'Dialogpart 1'!$J$106,IF('Sortering af spørgsmål'!$C$22=Projektforudsætninger!$C$21,'Dialogpart 2'!$J$106,IF('Sortering af spørgsmål'!$C$22=Projektforudsætninger!$C$22,'Dialogpart 3'!$J$106,IF('Sortering af spørgsmål'!$C$22=Projektforudsætninger!$C$23,'Dialogpart 4'!$J$106,IF('Sortering af spørgsmål'!$C$22=Projektforudsætninger!$C$24,'Dialogpart 5'!$J$106,IF('Sortering af spørgsmål'!$C$22=Projektforudsætninger!$C$25,'Dialogpart 6'!$J$106,IF('Sortering af spørgsmål'!$C$22=Projektforudsætninger!$C$22,'Dialogpart 7'!$J$106,IF('Sortering af spørgsmål'!$C$22=Projektforudsætninger!$C$23,#REF!,IF('Sortering af spørgsmål'!$C$22=Projektforudsætninger!$C$24,#REF!,IF('Sortering af spørgsmål'!$C$22=Projektforudsætninger!$C$25,#REF!,0))))))))))</f>
        <v>0</v>
      </c>
      <c r="O361" s="603"/>
      <c r="P361" s="603"/>
      <c r="Q361" s="598"/>
      <c r="R361" s="599">
        <f>'Sortering af spørgsmål'!$E$22*(Arbejdsark!E361/SUM($E$300:$E$371))</f>
        <v>3.7688442211055275E-3</v>
      </c>
      <c r="S361" s="599">
        <f>R361/$R$166</f>
        <v>9.4221105527638148E-3</v>
      </c>
      <c r="T361" s="600">
        <f>$T$166*S361</f>
        <v>0.47110552763819075</v>
      </c>
      <c r="U361" s="598"/>
      <c r="V361" s="598"/>
    </row>
    <row r="362" spans="1:22" s="604" customFormat="1" x14ac:dyDescent="0.45">
      <c r="A362" s="598"/>
      <c r="B362" s="598"/>
      <c r="C362" s="598"/>
      <c r="D362" s="598"/>
      <c r="E362" s="599"/>
      <c r="F362" s="603"/>
      <c r="G362" s="599"/>
      <c r="H362" s="600"/>
      <c r="I362" s="601"/>
      <c r="J362" s="601"/>
      <c r="K362" s="598"/>
      <c r="L362" s="598" t="s">
        <v>498</v>
      </c>
      <c r="M362" s="602">
        <v>1</v>
      </c>
      <c r="N362" s="602"/>
      <c r="O362" s="600">
        <f>ROUND(H361*M362,0)</f>
        <v>1</v>
      </c>
      <c r="P362" s="600">
        <f>O362-O362</f>
        <v>0</v>
      </c>
      <c r="Q362" s="598"/>
      <c r="R362" s="598"/>
      <c r="S362" s="598"/>
      <c r="T362" s="600"/>
      <c r="U362" s="600">
        <f>ROUND(T361*M362,0)</f>
        <v>0</v>
      </c>
      <c r="V362" s="598"/>
    </row>
    <row r="363" spans="1:22" s="604" customFormat="1" x14ac:dyDescent="0.45">
      <c r="A363" s="598"/>
      <c r="B363" s="598"/>
      <c r="C363" s="598"/>
      <c r="D363" s="598"/>
      <c r="E363" s="599"/>
      <c r="F363" s="603"/>
      <c r="G363" s="599"/>
      <c r="H363" s="600"/>
      <c r="I363" s="601"/>
      <c r="J363" s="601"/>
      <c r="K363" s="598"/>
      <c r="L363" s="598" t="s">
        <v>499</v>
      </c>
      <c r="M363" s="602">
        <v>0.55000000000000004</v>
      </c>
      <c r="N363" s="602"/>
      <c r="O363" s="600">
        <f>ROUND(H361*M363,0)</f>
        <v>1</v>
      </c>
      <c r="P363" s="600">
        <f>O362-O363</f>
        <v>0</v>
      </c>
      <c r="Q363" s="598"/>
      <c r="R363" s="598"/>
      <c r="S363" s="598"/>
      <c r="T363" s="600"/>
      <c r="U363" s="600">
        <f>ROUND(T361*M363,0)</f>
        <v>0</v>
      </c>
      <c r="V363" s="598"/>
    </row>
    <row r="364" spans="1:22" s="604" customFormat="1" x14ac:dyDescent="0.45">
      <c r="A364" s="598"/>
      <c r="B364" s="598"/>
      <c r="C364" s="598"/>
      <c r="D364" s="598"/>
      <c r="E364" s="599"/>
      <c r="F364" s="603"/>
      <c r="G364" s="599"/>
      <c r="H364" s="600"/>
      <c r="I364" s="601"/>
      <c r="J364" s="601"/>
      <c r="K364" s="598"/>
      <c r="L364" s="598" t="s">
        <v>495</v>
      </c>
      <c r="M364" s="602">
        <v>0</v>
      </c>
      <c r="N364" s="602"/>
      <c r="O364" s="600">
        <f>ROUND(H361*M364,0)</f>
        <v>0</v>
      </c>
      <c r="P364" s="600">
        <f>O362-O364</f>
        <v>1</v>
      </c>
      <c r="Q364" s="598"/>
      <c r="R364" s="598"/>
      <c r="S364" s="598"/>
      <c r="T364" s="600"/>
      <c r="U364" s="600">
        <f>ROUND(T361*M364,0)</f>
        <v>0</v>
      </c>
      <c r="V364" s="598"/>
    </row>
    <row r="365" spans="1:22" s="604" customFormat="1" x14ac:dyDescent="0.45">
      <c r="A365" s="598"/>
      <c r="B365" s="598"/>
      <c r="C365" s="598"/>
      <c r="D365" s="598"/>
      <c r="E365" s="599"/>
      <c r="F365" s="603"/>
      <c r="G365" s="599"/>
      <c r="H365" s="600"/>
      <c r="I365" s="601"/>
      <c r="J365" s="601"/>
      <c r="K365" s="598"/>
      <c r="L365" s="598"/>
      <c r="M365" s="602"/>
      <c r="N365" s="602"/>
      <c r="O365" s="602"/>
      <c r="P365" s="602"/>
      <c r="Q365" s="598"/>
      <c r="R365" s="598"/>
      <c r="S365" s="598"/>
      <c r="T365" s="600"/>
      <c r="U365" s="598"/>
      <c r="V365" s="598"/>
    </row>
    <row r="366" spans="1:22" s="604" customFormat="1" ht="199.5" x14ac:dyDescent="0.45">
      <c r="A366" s="598"/>
      <c r="B366" s="598" t="s">
        <v>754</v>
      </c>
      <c r="C366" s="598" t="s">
        <v>301</v>
      </c>
      <c r="D366" s="598"/>
      <c r="E366" s="599"/>
      <c r="F366" s="603"/>
      <c r="G366" s="599"/>
      <c r="H366" s="600"/>
      <c r="I366" s="601" t="s">
        <v>492</v>
      </c>
      <c r="J366" s="601"/>
      <c r="K366" s="755" t="s">
        <v>1025</v>
      </c>
      <c r="L366" s="753"/>
      <c r="M366" s="602"/>
      <c r="N366" s="603">
        <f>IF('Sortering af spørgsmål'!$C$22=Projektforudsætninger!$C$20,'Dialogpart 1'!$J$107,IF('Sortering af spørgsmål'!$C$22=Projektforudsætninger!$C$21,'Dialogpart 2'!$J$107,IF('Sortering af spørgsmål'!$C$22=Projektforudsætninger!$C$22,'Dialogpart 3'!$J$107,IF('Sortering af spørgsmål'!$C$22=Projektforudsætninger!$C$23,'Dialogpart 4'!$J$107,IF('Sortering af spørgsmål'!$C$22=Projektforudsætninger!$C$24,'Dialogpart 5'!$J$107,IF('Sortering af spørgsmål'!$C$22=Projektforudsætninger!$C$25,'Dialogpart 6'!$J$107,IF('Sortering af spørgsmål'!$C$22=Projektforudsætninger!$C$22,'Dialogpart 7'!$J$107,IF('Sortering af spørgsmål'!$C$22=Projektforudsætninger!$C$23,#REF!,IF('Sortering af spørgsmål'!$C$22=Projektforudsætninger!$C$24,#REF!,IF('Sortering af spørgsmål'!$C$22=Projektforudsætninger!$C$25,#REF!,0))))))))))</f>
        <v>0</v>
      </c>
      <c r="O366" s="603"/>
      <c r="P366" s="603"/>
      <c r="Q366" s="598"/>
      <c r="R366" s="598"/>
      <c r="S366" s="598"/>
      <c r="T366" s="600"/>
      <c r="U366" s="598"/>
      <c r="V366" s="598"/>
    </row>
    <row r="367" spans="1:22" s="604" customFormat="1" ht="28.5" x14ac:dyDescent="0.45">
      <c r="A367" s="598"/>
      <c r="B367" s="598"/>
      <c r="C367" s="598"/>
      <c r="D367" s="598" t="s">
        <v>885</v>
      </c>
      <c r="E367" s="599">
        <f>DGNBvægtning!I155+DGNBvægtning!I156</f>
        <v>1.8072289156626507E-3</v>
      </c>
      <c r="F367" s="600">
        <f>$F$166*G367</f>
        <v>0.3831530549087801</v>
      </c>
      <c r="G367" s="599">
        <f>E367/$E$166</f>
        <v>7.6630610981756019E-3</v>
      </c>
      <c r="H367" s="600">
        <v>1</v>
      </c>
      <c r="I367" s="601"/>
      <c r="J367" s="601"/>
      <c r="K367" s="750"/>
      <c r="L367" s="750" t="s">
        <v>498</v>
      </c>
      <c r="M367" s="602">
        <v>1</v>
      </c>
      <c r="N367" s="602"/>
      <c r="O367" s="600">
        <f>H367*M367</f>
        <v>1</v>
      </c>
      <c r="P367" s="600">
        <f>O367-O367</f>
        <v>0</v>
      </c>
      <c r="Q367" s="598"/>
      <c r="R367" s="599">
        <f>'Sortering af spørgsmål'!$E$22*(Arbejdsark!E367/SUM($E$300:$E$371))</f>
        <v>5.0251256281407036E-3</v>
      </c>
      <c r="S367" s="599">
        <f>R367/$R$166</f>
        <v>1.2562814070351754E-2</v>
      </c>
      <c r="T367" s="600">
        <f>$T$166*S367</f>
        <v>0.62814070351758766</v>
      </c>
      <c r="U367" s="600">
        <f>ROUND(T366*M367,0)</f>
        <v>0</v>
      </c>
      <c r="V367" s="598"/>
    </row>
    <row r="368" spans="1:22" s="604" customFormat="1" x14ac:dyDescent="0.45">
      <c r="A368" s="598"/>
      <c r="B368" s="598"/>
      <c r="C368" s="598"/>
      <c r="D368" s="598"/>
      <c r="E368" s="599"/>
      <c r="F368" s="603"/>
      <c r="G368" s="599"/>
      <c r="H368" s="600"/>
      <c r="I368" s="601"/>
      <c r="J368" s="601"/>
      <c r="K368" s="750"/>
      <c r="L368" s="750" t="s">
        <v>499</v>
      </c>
      <c r="M368" s="602">
        <v>0.5</v>
      </c>
      <c r="N368" s="602"/>
      <c r="O368" s="600">
        <f>H367*M368</f>
        <v>0.5</v>
      </c>
      <c r="P368" s="600">
        <v>0</v>
      </c>
      <c r="Q368" s="598"/>
      <c r="R368" s="598"/>
      <c r="S368" s="598"/>
      <c r="T368" s="600"/>
      <c r="U368" s="600">
        <f>ROUND(T366*M368,0)</f>
        <v>0</v>
      </c>
      <c r="V368" s="598"/>
    </row>
    <row r="369" spans="1:22" s="604" customFormat="1" x14ac:dyDescent="0.45">
      <c r="A369" s="598"/>
      <c r="B369" s="598"/>
      <c r="C369" s="598"/>
      <c r="D369" s="598"/>
      <c r="E369" s="599"/>
      <c r="F369" s="603"/>
      <c r="G369" s="599"/>
      <c r="H369" s="600"/>
      <c r="I369" s="601"/>
      <c r="J369" s="601"/>
      <c r="K369" s="750"/>
      <c r="L369" s="750" t="s">
        <v>495</v>
      </c>
      <c r="M369" s="602">
        <v>0.2</v>
      </c>
      <c r="N369" s="602"/>
      <c r="O369" s="600">
        <f>H367*M369</f>
        <v>0.2</v>
      </c>
      <c r="P369" s="600">
        <f>O367-O369</f>
        <v>0.8</v>
      </c>
      <c r="Q369" s="598"/>
      <c r="R369" s="598"/>
      <c r="S369" s="598"/>
      <c r="T369" s="600"/>
      <c r="U369" s="600">
        <f>ROUND(T366*M369,0)</f>
        <v>0</v>
      </c>
      <c r="V369" s="598"/>
    </row>
    <row r="370" spans="1:22" s="604" customFormat="1" ht="28.5" x14ac:dyDescent="0.45">
      <c r="A370" s="598"/>
      <c r="B370" s="598"/>
      <c r="C370" s="598"/>
      <c r="D370" s="598"/>
      <c r="E370" s="599"/>
      <c r="F370" s="603"/>
      <c r="G370" s="599"/>
      <c r="H370" s="600"/>
      <c r="I370" s="601"/>
      <c r="J370" s="601"/>
      <c r="K370" s="750"/>
      <c r="L370" s="751" t="s">
        <v>512</v>
      </c>
      <c r="M370" s="602"/>
      <c r="N370" s="602"/>
      <c r="O370" s="602"/>
      <c r="P370" s="602"/>
      <c r="Q370" s="598"/>
      <c r="R370" s="598"/>
      <c r="S370" s="598"/>
      <c r="T370" s="600"/>
      <c r="U370" s="598"/>
      <c r="V370" s="598"/>
    </row>
    <row r="371" spans="1:22" s="604" customFormat="1" ht="171" x14ac:dyDescent="0.45">
      <c r="A371" s="598"/>
      <c r="B371" s="598" t="s">
        <v>755</v>
      </c>
      <c r="C371" s="598" t="s">
        <v>560</v>
      </c>
      <c r="D371" s="598" t="s">
        <v>700</v>
      </c>
      <c r="E371" s="599">
        <f>DGNBvægtning!I158</f>
        <v>9.0361445783132533E-4</v>
      </c>
      <c r="F371" s="600">
        <f>$F$166*G371</f>
        <v>0.19157652745439005</v>
      </c>
      <c r="G371" s="599">
        <f>E371/$E$166</f>
        <v>3.8315305490878009E-3</v>
      </c>
      <c r="H371" s="600">
        <v>1</v>
      </c>
      <c r="I371" s="601" t="s">
        <v>492</v>
      </c>
      <c r="J371" s="601"/>
      <c r="K371" s="598" t="s">
        <v>1026</v>
      </c>
      <c r="L371" s="598"/>
      <c r="M371" s="602"/>
      <c r="N371" s="603">
        <f>IF('Sortering af spørgsmål'!$C$22=Projektforudsætninger!$C$20,'Dialogpart 1'!$J$108,IF('Sortering af spørgsmål'!$C$22=Projektforudsætninger!$C$21,'Dialogpart 2'!$J$108,IF('Sortering af spørgsmål'!$C$22=Projektforudsætninger!$C$22,'Dialogpart 3'!$J$108,IF('Sortering af spørgsmål'!$C$22=Projektforudsætninger!$C$23,'Dialogpart 4'!$J$108,IF('Sortering af spørgsmål'!$C$22=Projektforudsætninger!$C$24,'Dialogpart 5'!$J$108,IF('Sortering af spørgsmål'!$C$22=Projektforudsætninger!$C$25,'Dialogpart 6'!$J$108,IF('Sortering af spørgsmål'!$C$22=Projektforudsætninger!$C$22,'Dialogpart 7'!$J$108,IF('Sortering af spørgsmål'!$C$22=Projektforudsætninger!$C$23,#REF!,IF('Sortering af spørgsmål'!$C$22=Projektforudsætninger!$C$24,#REF!,IF('Sortering af spørgsmål'!$C$22=Projektforudsætninger!$C$25,#REF!,0))))))))))</f>
        <v>0</v>
      </c>
      <c r="O371" s="603"/>
      <c r="P371" s="603"/>
      <c r="Q371" s="598"/>
      <c r="R371" s="599">
        <f>'Sortering af spørgsmål'!$E$22*(Arbejdsark!E371/SUM($E$300:$E$371))</f>
        <v>2.5125628140703518E-3</v>
      </c>
      <c r="S371" s="599">
        <f>R371/$R$166</f>
        <v>6.2814070351758771E-3</v>
      </c>
      <c r="T371" s="600">
        <f>$T$166*S371</f>
        <v>0.31407035175879383</v>
      </c>
      <c r="U371" s="598"/>
      <c r="V371" s="598"/>
    </row>
    <row r="372" spans="1:22" s="604" customFormat="1" x14ac:dyDescent="0.45">
      <c r="A372" s="598"/>
      <c r="B372" s="598"/>
      <c r="C372" s="598"/>
      <c r="D372" s="598"/>
      <c r="E372" s="599"/>
      <c r="F372" s="603"/>
      <c r="G372" s="599"/>
      <c r="H372" s="600"/>
      <c r="I372" s="601"/>
      <c r="J372" s="601"/>
      <c r="K372" s="598"/>
      <c r="L372" s="598" t="s">
        <v>498</v>
      </c>
      <c r="M372" s="602">
        <v>1</v>
      </c>
      <c r="N372" s="602"/>
      <c r="O372" s="600">
        <f>ROUND(H371*M372,0)</f>
        <v>1</v>
      </c>
      <c r="P372" s="600">
        <f>O372-O372</f>
        <v>0</v>
      </c>
      <c r="Q372" s="598"/>
      <c r="R372" s="598"/>
      <c r="S372" s="598"/>
      <c r="T372" s="600"/>
      <c r="U372" s="600">
        <f>ROUND(T371*M372,0)</f>
        <v>0</v>
      </c>
      <c r="V372" s="598"/>
    </row>
    <row r="373" spans="1:22" s="604" customFormat="1" x14ac:dyDescent="0.45">
      <c r="A373" s="598"/>
      <c r="B373" s="598"/>
      <c r="C373" s="598"/>
      <c r="D373" s="598"/>
      <c r="E373" s="599"/>
      <c r="F373" s="603"/>
      <c r="G373" s="599"/>
      <c r="H373" s="600"/>
      <c r="I373" s="601"/>
      <c r="J373" s="601"/>
      <c r="K373" s="598"/>
      <c r="L373" s="598" t="s">
        <v>499</v>
      </c>
      <c r="M373" s="602">
        <v>0.5</v>
      </c>
      <c r="N373" s="602"/>
      <c r="O373" s="600">
        <f>ROUND(H371*M373,0)</f>
        <v>1</v>
      </c>
      <c r="P373" s="600">
        <f>O372-O373</f>
        <v>0</v>
      </c>
      <c r="Q373" s="598"/>
      <c r="R373" s="598"/>
      <c r="S373" s="598"/>
      <c r="T373" s="600"/>
      <c r="U373" s="600">
        <f>ROUND(T371*M373,0)</f>
        <v>0</v>
      </c>
      <c r="V373" s="598"/>
    </row>
    <row r="374" spans="1:22" s="604" customFormat="1" x14ac:dyDescent="0.45">
      <c r="A374" s="598"/>
      <c r="B374" s="598"/>
      <c r="C374" s="598"/>
      <c r="D374" s="598"/>
      <c r="E374" s="599"/>
      <c r="F374" s="603"/>
      <c r="G374" s="599"/>
      <c r="H374" s="600"/>
      <c r="I374" s="601"/>
      <c r="J374" s="601"/>
      <c r="K374" s="598"/>
      <c r="L374" s="598" t="s">
        <v>495</v>
      </c>
      <c r="M374" s="602">
        <f>1/7.5</f>
        <v>0.13333333333333333</v>
      </c>
      <c r="N374" s="602"/>
      <c r="O374" s="600">
        <f>ROUND(H371*M374,0)</f>
        <v>0</v>
      </c>
      <c r="P374" s="600">
        <f>O372-O374</f>
        <v>1</v>
      </c>
      <c r="Q374" s="598"/>
      <c r="R374" s="598"/>
      <c r="S374" s="598"/>
      <c r="T374" s="600"/>
      <c r="U374" s="600">
        <f>ROUND(T371*M374,0)</f>
        <v>0</v>
      </c>
      <c r="V374" s="598"/>
    </row>
    <row r="375" spans="1:22" s="604" customFormat="1" x14ac:dyDescent="0.45">
      <c r="A375" s="598"/>
      <c r="B375" s="598"/>
      <c r="C375" s="598"/>
      <c r="D375" s="598"/>
      <c r="E375" s="599"/>
      <c r="F375" s="603"/>
      <c r="G375" s="599"/>
      <c r="H375" s="600"/>
      <c r="I375" s="601"/>
      <c r="J375" s="601"/>
      <c r="K375" s="598"/>
      <c r="L375" s="598"/>
      <c r="M375" s="602"/>
      <c r="N375" s="602"/>
      <c r="O375" s="602"/>
      <c r="P375" s="602"/>
      <c r="Q375" s="598"/>
      <c r="R375" s="598"/>
      <c r="S375" s="598"/>
      <c r="T375" s="600"/>
      <c r="U375" s="598"/>
      <c r="V375" s="598"/>
    </row>
    <row r="376" spans="1:22" s="604" customFormat="1" x14ac:dyDescent="0.45">
      <c r="A376" s="612" t="s">
        <v>561</v>
      </c>
      <c r="B376" s="598"/>
      <c r="C376" s="598"/>
      <c r="D376" s="598"/>
      <c r="E376" s="599"/>
      <c r="F376" s="603"/>
      <c r="G376" s="599"/>
      <c r="H376" s="600"/>
      <c r="I376" s="601"/>
      <c r="J376" s="601"/>
      <c r="K376" s="598"/>
      <c r="L376" s="598"/>
      <c r="M376" s="602"/>
      <c r="N376" s="602"/>
      <c r="O376" s="602"/>
      <c r="P376" s="602"/>
      <c r="Q376" s="598"/>
      <c r="R376" s="598"/>
      <c r="S376" s="598"/>
      <c r="T376" s="600"/>
      <c r="U376" s="598"/>
      <c r="V376" s="598"/>
    </row>
    <row r="377" spans="1:22" s="611" customFormat="1" x14ac:dyDescent="0.45">
      <c r="B377" s="612"/>
      <c r="C377" s="612"/>
      <c r="D377" s="612"/>
      <c r="E377" s="613">
        <f>SUM(E378:E459)</f>
        <v>0.14365384615384613</v>
      </c>
      <c r="F377" s="614">
        <v>50</v>
      </c>
      <c r="G377" s="613"/>
      <c r="H377" s="614">
        <f>SUM(H378:H459)</f>
        <v>50</v>
      </c>
      <c r="I377" s="615"/>
      <c r="J377" s="615"/>
      <c r="K377" s="612"/>
      <c r="L377" s="612"/>
      <c r="M377" s="719"/>
      <c r="N377" s="719"/>
      <c r="O377" s="720"/>
      <c r="P377" s="721"/>
      <c r="Q377" s="616"/>
      <c r="R377" s="617">
        <f>SUM(R378:R454)</f>
        <v>0.15000000000000008</v>
      </c>
      <c r="S377" s="612"/>
      <c r="T377" s="618">
        <v>50</v>
      </c>
      <c r="U377" s="612"/>
      <c r="V377" s="619"/>
    </row>
    <row r="378" spans="1:22" s="604" customFormat="1" ht="270.75" x14ac:dyDescent="0.45">
      <c r="A378" s="598" t="s">
        <v>949</v>
      </c>
      <c r="B378" s="598" t="s">
        <v>253</v>
      </c>
      <c r="C378" s="598" t="s">
        <v>562</v>
      </c>
      <c r="D378" s="598" t="s">
        <v>377</v>
      </c>
      <c r="E378" s="599">
        <f>DGNBvægtning!G166-DGNBvægtning!I171</f>
        <v>2.8846153846153848E-2</v>
      </c>
      <c r="F378" s="600">
        <f>$F$377*G378</f>
        <v>10.040160642570283</v>
      </c>
      <c r="G378" s="599">
        <f>E378/$E$377</f>
        <v>0.20080321285140568</v>
      </c>
      <c r="H378" s="600">
        <v>6</v>
      </c>
      <c r="I378" s="601" t="s">
        <v>492</v>
      </c>
      <c r="J378" s="601"/>
      <c r="K378" s="598" t="s">
        <v>1027</v>
      </c>
      <c r="L378" s="598"/>
      <c r="M378" s="602"/>
      <c r="N378" s="603">
        <f>IF('Sortering af spørgsmål'!$C$23=Projektforudsætninger!$C$20,'Dialogpart 1'!$J$113,IF('Sortering af spørgsmål'!$C$23=Projektforudsætninger!$C$21,'Dialogpart 2'!$J$113,IF('Sortering af spørgsmål'!$C$23=Projektforudsætninger!$C$22,'Dialogpart 3'!$J$113,IF('Sortering af spørgsmål'!$C$23=Projektforudsætninger!$C$23,'Dialogpart 4'!$J$113,IF('Sortering af spørgsmål'!$C$23=Projektforudsætninger!$C$24,'Dialogpart 5'!$J$113,IF('Sortering af spørgsmål'!$C$23=Projektforudsætninger!$C$25,'Dialogpart 6'!$J$113,IF('Sortering af spørgsmål'!$C$23=Projektforudsætninger!$C$22,'Dialogpart 7'!$J$113,IF('Sortering af spørgsmål'!$C$23=Projektforudsætninger!$C$23,#REF!,IF('Sortering af spørgsmål'!$C$23=Projektforudsætninger!$C$24,#REF!,IF('Sortering af spørgsmål'!$C$23=Projektforudsætninger!$C$25,#REF!,0))))))))))</f>
        <v>0</v>
      </c>
      <c r="O378" s="603"/>
      <c r="P378" s="603"/>
      <c r="Q378" s="598"/>
      <c r="R378" s="599">
        <f>'Sortering af spørgsmål'!$E$23*(Arbejdsark!E378/SUM(E378))</f>
        <v>0.05</v>
      </c>
      <c r="S378" s="599">
        <f>R378/$R$377</f>
        <v>0.3333333333333332</v>
      </c>
      <c r="T378" s="600">
        <f>$T$377*S378</f>
        <v>16.666666666666661</v>
      </c>
      <c r="U378" s="598"/>
      <c r="V378" s="598"/>
    </row>
    <row r="379" spans="1:22" s="604" customFormat="1" x14ac:dyDescent="0.45">
      <c r="A379" s="598"/>
      <c r="B379" s="598"/>
      <c r="C379" s="598"/>
      <c r="D379" s="598"/>
      <c r="E379" s="599"/>
      <c r="F379" s="603"/>
      <c r="G379" s="599"/>
      <c r="H379" s="600"/>
      <c r="I379" s="601"/>
      <c r="J379" s="601"/>
      <c r="K379" s="598"/>
      <c r="L379" s="598" t="s">
        <v>498</v>
      </c>
      <c r="M379" s="602">
        <v>1</v>
      </c>
      <c r="N379" s="602"/>
      <c r="O379" s="600">
        <f>ROUND(H378*M379,0)</f>
        <v>6</v>
      </c>
      <c r="P379" s="600">
        <f>O379-O379</f>
        <v>0</v>
      </c>
      <c r="Q379" s="598"/>
      <c r="R379" s="598"/>
      <c r="S379" s="598"/>
      <c r="T379" s="600"/>
      <c r="U379" s="600">
        <f>ROUND(T378*M379,0)</f>
        <v>17</v>
      </c>
      <c r="V379" s="598"/>
    </row>
    <row r="380" spans="1:22" s="604" customFormat="1" x14ac:dyDescent="0.45">
      <c r="A380" s="598"/>
      <c r="B380" s="598"/>
      <c r="C380" s="598"/>
      <c r="D380" s="598"/>
      <c r="E380" s="599"/>
      <c r="F380" s="603"/>
      <c r="G380" s="599"/>
      <c r="H380" s="600"/>
      <c r="I380" s="601"/>
      <c r="J380" s="601"/>
      <c r="K380" s="598"/>
      <c r="L380" s="598" t="s">
        <v>499</v>
      </c>
      <c r="M380" s="602">
        <v>0.75</v>
      </c>
      <c r="N380" s="602"/>
      <c r="O380" s="600">
        <f>ROUND(H378*M380,0)</f>
        <v>5</v>
      </c>
      <c r="P380" s="600">
        <f>O379-O380</f>
        <v>1</v>
      </c>
      <c r="Q380" s="598"/>
      <c r="R380" s="598"/>
      <c r="S380" s="598"/>
      <c r="T380" s="600"/>
      <c r="U380" s="600">
        <f>ROUND(T378*M380,0)</f>
        <v>13</v>
      </c>
      <c r="V380" s="598"/>
    </row>
    <row r="381" spans="1:22" s="604" customFormat="1" x14ac:dyDescent="0.45">
      <c r="A381" s="598"/>
      <c r="B381" s="598"/>
      <c r="C381" s="598"/>
      <c r="D381" s="598"/>
      <c r="E381" s="599"/>
      <c r="F381" s="603"/>
      <c r="G381" s="599"/>
      <c r="H381" s="600"/>
      <c r="I381" s="601"/>
      <c r="J381" s="601"/>
      <c r="K381" s="598"/>
      <c r="L381" s="598" t="s">
        <v>495</v>
      </c>
      <c r="M381" s="602">
        <v>0.5</v>
      </c>
      <c r="N381" s="602"/>
      <c r="O381" s="600">
        <f>ROUND(H378*M381,0)</f>
        <v>3</v>
      </c>
      <c r="P381" s="600">
        <f>O379-O381</f>
        <v>3</v>
      </c>
      <c r="Q381" s="598"/>
      <c r="R381" s="598"/>
      <c r="S381" s="598"/>
      <c r="T381" s="600"/>
      <c r="U381" s="600">
        <f>ROUND(T378*M381,0)</f>
        <v>8</v>
      </c>
      <c r="V381" s="598"/>
    </row>
    <row r="382" spans="1:22" s="604" customFormat="1" x14ac:dyDescent="0.45">
      <c r="A382" s="598"/>
      <c r="B382" s="598"/>
      <c r="C382" s="598"/>
      <c r="D382" s="598"/>
      <c r="E382" s="599"/>
      <c r="F382" s="603"/>
      <c r="G382" s="599"/>
      <c r="H382" s="600"/>
      <c r="I382" s="601"/>
      <c r="J382" s="601"/>
      <c r="K382" s="744"/>
      <c r="L382" s="598"/>
      <c r="M382" s="602"/>
      <c r="N382" s="602"/>
      <c r="O382" s="602"/>
      <c r="P382" s="602"/>
      <c r="Q382" s="598"/>
      <c r="R382" s="598"/>
      <c r="S382" s="598"/>
      <c r="T382" s="600"/>
      <c r="U382" s="598"/>
      <c r="V382" s="598"/>
    </row>
    <row r="383" spans="1:22" ht="213.75" x14ac:dyDescent="0.45">
      <c r="A383" s="745"/>
      <c r="B383" s="649" t="s">
        <v>265</v>
      </c>
      <c r="C383" s="649" t="s">
        <v>891</v>
      </c>
      <c r="D383" s="713" t="s">
        <v>954</v>
      </c>
      <c r="E383" s="213">
        <f>DGNBvægtning!I170</f>
        <v>5.7692307692307696E-3</v>
      </c>
      <c r="F383" s="215">
        <f>IF(E383&lt;0.0075,1*3,IF(E383&lt;0.0125,2*3,IF(E383&lt;0.0175,3*3,IF(E383&lt;0.0225,4*3,IF(E383&lt;0.0275,5*3,IF(E383&lt;0.0325,6*3,IF(E383&lt;0.0375,7*3,IF(E383&lt;0.0425,8*3,IF(E383&lt;0.0475,9*3,IF(E383&lt;0.0525,10*3,IF(E383&lt;0.0575,11*3,IF(E383&lt;0.0625,12*3,IF(E383&lt;0.0675,13*3,IF(E383&lt;0.0725,14*3,IF(0.0775,15*3,IF(0.0825,16*3))))))))))))))))</f>
        <v>3</v>
      </c>
      <c r="G383" s="213">
        <f>IF(F383&lt;=3,100%,IF(F383&lt;45,(83%+(F383-6)*((33%-83%)/(45-6))),IF(F383=45,33%)))</f>
        <v>1</v>
      </c>
      <c r="H383" s="216">
        <v>1</v>
      </c>
      <c r="I383" s="709" t="s">
        <v>492</v>
      </c>
      <c r="J383" s="709"/>
      <c r="K383" s="754" t="s">
        <v>1028</v>
      </c>
      <c r="L383" s="649"/>
      <c r="M383" s="724"/>
      <c r="N383" s="724">
        <v>0</v>
      </c>
      <c r="O383" s="725"/>
      <c r="P383" s="726"/>
      <c r="R383" s="711">
        <v>0</v>
      </c>
      <c r="S383" s="711" t="e">
        <f>R383/$R$173</f>
        <v>#DIV/0!</v>
      </c>
      <c r="T383" s="712" t="e">
        <f>$T$173*S383</f>
        <v>#DIV/0!</v>
      </c>
    </row>
    <row r="384" spans="1:22" x14ac:dyDescent="0.45">
      <c r="A384" s="209"/>
      <c r="B384" s="209"/>
      <c r="C384" s="649"/>
      <c r="D384" s="713"/>
      <c r="E384" s="213"/>
      <c r="F384" s="215"/>
      <c r="G384" s="213"/>
      <c r="H384" s="216"/>
      <c r="I384" s="709"/>
      <c r="J384" s="709"/>
      <c r="K384" s="649"/>
      <c r="L384" s="649" t="s">
        <v>498</v>
      </c>
      <c r="M384" s="724">
        <v>1</v>
      </c>
      <c r="N384" s="724"/>
      <c r="O384" s="727">
        <f>ROUND(H383*M384,0)</f>
        <v>1</v>
      </c>
      <c r="P384" s="728">
        <f>O384-O384</f>
        <v>0</v>
      </c>
      <c r="U384" s="216" t="e">
        <f>ROUND(T383*M384,0)</f>
        <v>#DIV/0!</v>
      </c>
    </row>
    <row r="385" spans="1:22" x14ac:dyDescent="0.45">
      <c r="A385" s="209"/>
      <c r="B385" s="209"/>
      <c r="C385" s="649"/>
      <c r="D385" s="713"/>
      <c r="E385" s="213"/>
      <c r="F385" s="215"/>
      <c r="G385" s="213"/>
      <c r="H385" s="216"/>
      <c r="I385" s="709"/>
      <c r="J385" s="709"/>
      <c r="K385" s="649"/>
      <c r="L385" s="649" t="s">
        <v>499</v>
      </c>
      <c r="M385" s="724">
        <v>0.5</v>
      </c>
      <c r="N385" s="724"/>
      <c r="O385" s="727">
        <f>ROUND(H383*M385,0)</f>
        <v>1</v>
      </c>
      <c r="P385" s="728">
        <f>O384-O385</f>
        <v>0</v>
      </c>
      <c r="U385" s="216" t="e">
        <f>ROUND(T383*M385,0)</f>
        <v>#DIV/0!</v>
      </c>
    </row>
    <row r="386" spans="1:22" x14ac:dyDescent="0.45">
      <c r="A386" s="209"/>
      <c r="B386" s="209"/>
      <c r="C386" s="649"/>
      <c r="D386" s="713"/>
      <c r="E386" s="213"/>
      <c r="F386" s="215"/>
      <c r="G386" s="213"/>
      <c r="H386" s="216"/>
      <c r="I386" s="709"/>
      <c r="J386" s="709"/>
      <c r="K386" s="649"/>
      <c r="L386" s="649" t="s">
        <v>495</v>
      </c>
      <c r="M386" s="724">
        <v>0</v>
      </c>
      <c r="N386" s="724"/>
      <c r="O386" s="727">
        <f>ROUND(H383*M386,0)</f>
        <v>0</v>
      </c>
      <c r="P386" s="728">
        <f>O384-O386</f>
        <v>1</v>
      </c>
      <c r="U386" s="216" t="e">
        <f>ROUND(T383*M386,0)</f>
        <v>#DIV/0!</v>
      </c>
    </row>
    <row r="387" spans="1:22" x14ac:dyDescent="0.45">
      <c r="A387" s="209"/>
      <c r="B387" s="209"/>
      <c r="C387" s="649"/>
      <c r="D387" s="713"/>
      <c r="E387" s="213"/>
      <c r="F387" s="215"/>
      <c r="G387" s="213"/>
      <c r="H387" s="216"/>
      <c r="I387" s="709"/>
      <c r="J387" s="709"/>
      <c r="K387" s="649"/>
      <c r="L387" s="754"/>
      <c r="M387" s="724"/>
      <c r="N387" s="724"/>
      <c r="O387" s="725"/>
      <c r="P387" s="726"/>
    </row>
    <row r="388" spans="1:22" s="604" customFormat="1" ht="256.5" x14ac:dyDescent="0.45">
      <c r="A388" s="598" t="s">
        <v>382</v>
      </c>
      <c r="B388" s="598" t="s">
        <v>283</v>
      </c>
      <c r="C388" s="598" t="s">
        <v>563</v>
      </c>
      <c r="D388" s="598" t="s">
        <v>908</v>
      </c>
      <c r="E388" s="599">
        <f>DGNBvægtning!I174</f>
        <v>1.0384615384615384E-2</v>
      </c>
      <c r="F388" s="600">
        <f>$F$377*G388</f>
        <v>3.6144578313253017</v>
      </c>
      <c r="G388" s="599">
        <f>E388/$E$377</f>
        <v>7.2289156626506035E-2</v>
      </c>
      <c r="H388" s="600">
        <v>4</v>
      </c>
      <c r="I388" s="601" t="s">
        <v>492</v>
      </c>
      <c r="J388" s="601"/>
      <c r="K388" s="598" t="s">
        <v>1030</v>
      </c>
      <c r="L388" s="598"/>
      <c r="M388" s="602"/>
      <c r="N388" s="603">
        <f>IF('Sortering af spørgsmål'!$C$24=Projektforudsætninger!$C$20,'Dialogpart 1'!$J$117,IF('Sortering af spørgsmål'!$C$24=Projektforudsætninger!$C$21,'Dialogpart 2'!$J$117,IF('Sortering af spørgsmål'!$C$24=Projektforudsætninger!$C$22,'Dialogpart 3'!$J$117,IF('Sortering af spørgsmål'!$C$24=Projektforudsætninger!$C$23,'Dialogpart 4'!$J$117,IF('Sortering af spørgsmål'!$C$24=Projektforudsætninger!$C$24,'Dialogpart 5'!$J$117,IF('Sortering af spørgsmål'!$C$24=Projektforudsætninger!$C$25,'Dialogpart 6'!$J$117,IF('Sortering af spørgsmål'!$C$24=Projektforudsætninger!$C$22,'Dialogpart 7'!$J$117,IF('Sortering af spørgsmål'!$C$24=Projektforudsætninger!$C$23,#REF!,IF('Sortering af spørgsmål'!$C$24=Projektforudsætninger!$C$24,#REF!,IF('Sortering af spørgsmål'!$C$24=Projektforudsætninger!$C$25,#REF!,0))))))))))</f>
        <v>0</v>
      </c>
      <c r="O388" s="603"/>
      <c r="P388" s="603"/>
      <c r="Q388" s="598"/>
      <c r="R388" s="599">
        <f>'Sortering af spørgsmål'!$E$24*(Arbejdsark!E388/SUM($E$388:$E$418))</f>
        <v>1.3043478260869568E-2</v>
      </c>
      <c r="S388" s="599">
        <f>R388/$R$377</f>
        <v>8.6956521739130405E-2</v>
      </c>
      <c r="T388" s="600">
        <f>$T$377*S388</f>
        <v>4.3478260869565206</v>
      </c>
      <c r="U388" s="598"/>
      <c r="V388" s="598"/>
    </row>
    <row r="389" spans="1:22" s="604" customFormat="1" x14ac:dyDescent="0.45">
      <c r="A389" s="598"/>
      <c r="B389" s="598"/>
      <c r="C389" s="598"/>
      <c r="D389" s="598"/>
      <c r="E389" s="599"/>
      <c r="F389" s="603"/>
      <c r="G389" s="599"/>
      <c r="H389" s="600"/>
      <c r="I389" s="601"/>
      <c r="J389" s="601"/>
      <c r="K389" s="598"/>
      <c r="L389" s="598" t="s">
        <v>498</v>
      </c>
      <c r="M389" s="602">
        <v>1</v>
      </c>
      <c r="N389" s="602"/>
      <c r="O389" s="600">
        <f>ROUND(H388*M389,0)</f>
        <v>4</v>
      </c>
      <c r="P389" s="600">
        <f>O389-O389</f>
        <v>0</v>
      </c>
      <c r="Q389" s="598"/>
      <c r="R389" s="598"/>
      <c r="S389" s="598"/>
      <c r="T389" s="600"/>
      <c r="U389" s="600">
        <f>ROUND(T388*M389,0)</f>
        <v>4</v>
      </c>
      <c r="V389" s="598"/>
    </row>
    <row r="390" spans="1:22" s="604" customFormat="1" x14ac:dyDescent="0.45">
      <c r="A390" s="598"/>
      <c r="B390" s="598"/>
      <c r="C390" s="598"/>
      <c r="D390" s="598"/>
      <c r="E390" s="599"/>
      <c r="F390" s="603"/>
      <c r="G390" s="599"/>
      <c r="H390" s="600"/>
      <c r="I390" s="601"/>
      <c r="J390" s="601"/>
      <c r="K390" s="598"/>
      <c r="L390" s="598" t="s">
        <v>499</v>
      </c>
      <c r="M390" s="602">
        <f>20/30</f>
        <v>0.66666666666666663</v>
      </c>
      <c r="N390" s="602"/>
      <c r="O390" s="600">
        <f>ROUND(H388*M390,0)</f>
        <v>3</v>
      </c>
      <c r="P390" s="600">
        <f>O389-O390</f>
        <v>1</v>
      </c>
      <c r="Q390" s="598"/>
      <c r="R390" s="598"/>
      <c r="S390" s="598"/>
      <c r="T390" s="600"/>
      <c r="U390" s="600">
        <f>ROUND(T388*M390,0)</f>
        <v>3</v>
      </c>
      <c r="V390" s="598"/>
    </row>
    <row r="391" spans="1:22" s="604" customFormat="1" x14ac:dyDescent="0.45">
      <c r="A391" s="598"/>
      <c r="B391" s="598"/>
      <c r="C391" s="598"/>
      <c r="D391" s="598"/>
      <c r="E391" s="599"/>
      <c r="F391" s="603"/>
      <c r="G391" s="599"/>
      <c r="H391" s="600"/>
      <c r="I391" s="601"/>
      <c r="J391" s="601"/>
      <c r="K391" s="598"/>
      <c r="L391" s="598" t="s">
        <v>495</v>
      </c>
      <c r="M391" s="602">
        <f>10/30</f>
        <v>0.33333333333333331</v>
      </c>
      <c r="N391" s="602"/>
      <c r="O391" s="600">
        <f>ROUND(H388*M391,0)</f>
        <v>1</v>
      </c>
      <c r="P391" s="600">
        <f>O389-O391</f>
        <v>3</v>
      </c>
      <c r="Q391" s="598"/>
      <c r="R391" s="598"/>
      <c r="S391" s="598"/>
      <c r="T391" s="600"/>
      <c r="U391" s="600">
        <f>ROUND(T388*M391,0)</f>
        <v>1</v>
      </c>
      <c r="V391" s="598"/>
    </row>
    <row r="392" spans="1:22" s="604" customFormat="1" ht="156.75" x14ac:dyDescent="0.45">
      <c r="A392" s="598"/>
      <c r="B392" s="598"/>
      <c r="C392" s="598"/>
      <c r="D392" s="598"/>
      <c r="E392" s="599"/>
      <c r="F392" s="603"/>
      <c r="G392" s="599"/>
      <c r="H392" s="600"/>
      <c r="I392" s="601"/>
      <c r="J392" s="601"/>
      <c r="K392" s="598" t="s">
        <v>1029</v>
      </c>
      <c r="L392" s="598"/>
      <c r="M392" s="602"/>
      <c r="N392" s="602"/>
      <c r="O392" s="602"/>
      <c r="P392" s="602"/>
      <c r="Q392" s="598"/>
      <c r="R392" s="598"/>
      <c r="S392" s="598"/>
      <c r="T392" s="600"/>
      <c r="U392" s="598"/>
      <c r="V392" s="598"/>
    </row>
    <row r="393" spans="1:22" s="604" customFormat="1" ht="228" x14ac:dyDescent="0.45">
      <c r="A393" s="598"/>
      <c r="B393" s="598" t="s">
        <v>268</v>
      </c>
      <c r="C393" s="598" t="s">
        <v>950</v>
      </c>
      <c r="D393" s="598" t="s">
        <v>909</v>
      </c>
      <c r="E393" s="599">
        <f>DGNBvægtning!I175</f>
        <v>5.1923076923076922E-3</v>
      </c>
      <c r="F393" s="600">
        <f>$F$377*G393</f>
        <v>1.8072289156626509</v>
      </c>
      <c r="G393" s="599">
        <f>E393/$E$377</f>
        <v>3.6144578313253017E-2</v>
      </c>
      <c r="H393" s="600">
        <v>2</v>
      </c>
      <c r="I393" s="601" t="s">
        <v>492</v>
      </c>
      <c r="J393" s="601"/>
      <c r="K393" s="598" t="s">
        <v>1031</v>
      </c>
      <c r="L393" s="598"/>
      <c r="M393" s="602"/>
      <c r="N393" s="603">
        <f>IF('Sortering af spørgsmål'!$C$24=Projektforudsætninger!$C$20,'Dialogpart 1'!$J$118,IF('Sortering af spørgsmål'!$C$24=Projektforudsætninger!$C$21,'Dialogpart 2'!$J$118,IF('Sortering af spørgsmål'!$C$24=Projektforudsætninger!$C$22,'Dialogpart 3'!$J$118,IF('Sortering af spørgsmål'!$C$24=Projektforudsætninger!$C$23,'Dialogpart 4'!$J$118,IF('Sortering af spørgsmål'!$C$24=Projektforudsætninger!$C$24,'Dialogpart 5'!$J$118,IF('Sortering af spørgsmål'!$C$24=Projektforudsætninger!$C$25,'Dialogpart 6'!$J$118,IF('Sortering af spørgsmål'!$C$24=Projektforudsætninger!$C$22,'Dialogpart 7'!$J$118,IF('Sortering af spørgsmål'!$C$24=Projektforudsætninger!$C$23,#REF!,IF('Sortering af spørgsmål'!$C$24=Projektforudsætninger!$C$24,#REF!,IF('Sortering af spørgsmål'!$C$24=Projektforudsætninger!$C$25,#REF!,0))))))))))</f>
        <v>0</v>
      </c>
      <c r="O393" s="603"/>
      <c r="P393" s="603"/>
      <c r="Q393" s="598"/>
      <c r="R393" s="599">
        <f>'Sortering af spørgsmål'!$E$24*(Arbejdsark!E393/SUM($E$388:$E$418))</f>
        <v>6.521739130434784E-3</v>
      </c>
      <c r="S393" s="599">
        <f>R393/$R$377</f>
        <v>4.3478260869565202E-2</v>
      </c>
      <c r="T393" s="600">
        <f>$T$377*S393</f>
        <v>2.1739130434782603</v>
      </c>
      <c r="U393" s="598"/>
      <c r="V393" s="598"/>
    </row>
    <row r="394" spans="1:22" s="604" customFormat="1" x14ac:dyDescent="0.45">
      <c r="A394" s="598"/>
      <c r="B394" s="598"/>
      <c r="C394" s="598"/>
      <c r="D394" s="598"/>
      <c r="E394" s="599"/>
      <c r="F394" s="603"/>
      <c r="G394" s="599"/>
      <c r="H394" s="600"/>
      <c r="I394" s="601"/>
      <c r="J394" s="601"/>
      <c r="K394" s="598"/>
      <c r="L394" s="598" t="s">
        <v>498</v>
      </c>
      <c r="M394" s="602">
        <v>1</v>
      </c>
      <c r="N394" s="602"/>
      <c r="O394" s="600">
        <f>ROUND(H393*M394,0)</f>
        <v>2</v>
      </c>
      <c r="P394" s="600">
        <f>O394-O394</f>
        <v>0</v>
      </c>
      <c r="Q394" s="598"/>
      <c r="R394" s="598"/>
      <c r="S394" s="598"/>
      <c r="T394" s="600"/>
      <c r="U394" s="600">
        <f>ROUND(T393*M394,0)</f>
        <v>2</v>
      </c>
      <c r="V394" s="598"/>
    </row>
    <row r="395" spans="1:22" s="604" customFormat="1" x14ac:dyDescent="0.45">
      <c r="A395" s="598"/>
      <c r="B395" s="598"/>
      <c r="C395" s="598"/>
      <c r="D395" s="598"/>
      <c r="E395" s="599"/>
      <c r="F395" s="603"/>
      <c r="G395" s="599"/>
      <c r="H395" s="600"/>
      <c r="I395" s="601"/>
      <c r="J395" s="601"/>
      <c r="K395" s="598"/>
      <c r="L395" s="598" t="s">
        <v>499</v>
      </c>
      <c r="M395" s="602">
        <f>10/15</f>
        <v>0.66666666666666663</v>
      </c>
      <c r="N395" s="602"/>
      <c r="O395" s="600">
        <f>ROUND(H393*M395,0)</f>
        <v>1</v>
      </c>
      <c r="P395" s="600">
        <f>O394-O395</f>
        <v>1</v>
      </c>
      <c r="Q395" s="598"/>
      <c r="R395" s="598"/>
      <c r="S395" s="598"/>
      <c r="T395" s="600"/>
      <c r="U395" s="600">
        <f>ROUND(T393*M395,0)</f>
        <v>1</v>
      </c>
      <c r="V395" s="598"/>
    </row>
    <row r="396" spans="1:22" s="604" customFormat="1" x14ac:dyDescent="0.45">
      <c r="A396" s="598"/>
      <c r="B396" s="598"/>
      <c r="C396" s="598"/>
      <c r="D396" s="598"/>
      <c r="E396" s="599"/>
      <c r="F396" s="603"/>
      <c r="G396" s="599"/>
      <c r="H396" s="600"/>
      <c r="I396" s="601"/>
      <c r="J396" s="601"/>
      <c r="K396" s="598"/>
      <c r="L396" s="598" t="s">
        <v>495</v>
      </c>
      <c r="M396" s="602">
        <f>5/15</f>
        <v>0.33333333333333331</v>
      </c>
      <c r="N396" s="602"/>
      <c r="O396" s="600">
        <v>0</v>
      </c>
      <c r="P396" s="600">
        <f>O394-O396</f>
        <v>2</v>
      </c>
      <c r="Q396" s="598"/>
      <c r="R396" s="598"/>
      <c r="S396" s="598"/>
      <c r="T396" s="600"/>
      <c r="U396" s="600">
        <f>ROUND(T393*M396,0)</f>
        <v>1</v>
      </c>
      <c r="V396" s="598"/>
    </row>
    <row r="397" spans="1:22" s="604" customFormat="1" x14ac:dyDescent="0.45">
      <c r="A397" s="598"/>
      <c r="B397" s="598"/>
      <c r="C397" s="598"/>
      <c r="D397" s="598"/>
      <c r="E397" s="599"/>
      <c r="F397" s="603"/>
      <c r="G397" s="599"/>
      <c r="H397" s="600"/>
      <c r="I397" s="601"/>
      <c r="J397" s="601"/>
      <c r="K397" s="598"/>
      <c r="L397" s="598"/>
      <c r="M397" s="602"/>
      <c r="N397" s="602"/>
      <c r="O397" s="602"/>
      <c r="P397" s="602"/>
      <c r="Q397" s="598"/>
      <c r="R397" s="598"/>
      <c r="S397" s="598"/>
      <c r="T397" s="600"/>
      <c r="U397" s="598"/>
      <c r="V397" s="598"/>
    </row>
    <row r="398" spans="1:22" s="604" customFormat="1" ht="228" x14ac:dyDescent="0.45">
      <c r="A398" s="598"/>
      <c r="B398" s="598" t="s">
        <v>285</v>
      </c>
      <c r="C398" s="598" t="s">
        <v>564</v>
      </c>
      <c r="D398" s="598" t="s">
        <v>910</v>
      </c>
      <c r="E398" s="599">
        <f>DGNBvægtning!I176</f>
        <v>5.1923076923076922E-3</v>
      </c>
      <c r="F398" s="600">
        <f>$F$377*G398</f>
        <v>1.8072289156626509</v>
      </c>
      <c r="G398" s="599">
        <f>E398/$E$377</f>
        <v>3.6144578313253017E-2</v>
      </c>
      <c r="H398" s="600">
        <v>2</v>
      </c>
      <c r="I398" s="601" t="s">
        <v>492</v>
      </c>
      <c r="J398" s="601"/>
      <c r="K398" s="598" t="s">
        <v>1032</v>
      </c>
      <c r="L398" s="598"/>
      <c r="M398" s="602"/>
      <c r="N398" s="603">
        <f>IF('Sortering af spørgsmål'!$C$24=Projektforudsætninger!$C$20,'Dialogpart 1'!$J$119,IF('Sortering af spørgsmål'!$C$24=Projektforudsætninger!$C$21,'Dialogpart 2'!$J$119,IF('Sortering af spørgsmål'!$C$24=Projektforudsætninger!$C$22,'Dialogpart 3'!$J$119,IF('Sortering af spørgsmål'!$C$24=Projektforudsætninger!$C$23,'Dialogpart 4'!$J$119,IF('Sortering af spørgsmål'!$C$24=Projektforudsætninger!$C$24,'Dialogpart 5'!$J$119,IF('Sortering af spørgsmål'!$C$24=Projektforudsætninger!$C$25,'Dialogpart 6'!$J$119,IF('Sortering af spørgsmål'!$C$24=Projektforudsætninger!$C$22,'Dialogpart 7'!$J$119,IF('Sortering af spørgsmål'!$C$24=Projektforudsætninger!$C$23,#REF!,IF('Sortering af spørgsmål'!$C$24=Projektforudsætninger!$C$24,#REF!,IF('Sortering af spørgsmål'!$C$24=Projektforudsætninger!$C$25,#REF!,0))))))))))</f>
        <v>0</v>
      </c>
      <c r="O398" s="603"/>
      <c r="P398" s="603"/>
      <c r="Q398" s="598"/>
      <c r="R398" s="599">
        <f>'Sortering af spørgsmål'!$E$24*(Arbejdsark!E398/SUM($E$388:$E$418))</f>
        <v>6.521739130434784E-3</v>
      </c>
      <c r="S398" s="599">
        <f>R398/$R$377</f>
        <v>4.3478260869565202E-2</v>
      </c>
      <c r="T398" s="600">
        <f>$T$377*S398</f>
        <v>2.1739130434782603</v>
      </c>
      <c r="U398" s="598"/>
      <c r="V398" s="598"/>
    </row>
    <row r="399" spans="1:22" s="604" customFormat="1" x14ac:dyDescent="0.45">
      <c r="A399" s="598"/>
      <c r="B399" s="598"/>
      <c r="C399" s="598"/>
      <c r="D399" s="598"/>
      <c r="E399" s="599"/>
      <c r="F399" s="603"/>
      <c r="G399" s="599"/>
      <c r="H399" s="600"/>
      <c r="I399" s="601"/>
      <c r="J399" s="601"/>
      <c r="K399" s="598"/>
      <c r="L399" s="598" t="s">
        <v>498</v>
      </c>
      <c r="M399" s="602">
        <v>1</v>
      </c>
      <c r="N399" s="602"/>
      <c r="O399" s="600">
        <f>ROUND(H398*M399,0)</f>
        <v>2</v>
      </c>
      <c r="P399" s="600">
        <f>O399-O399</f>
        <v>0</v>
      </c>
      <c r="Q399" s="598"/>
      <c r="R399" s="598"/>
      <c r="S399" s="598"/>
      <c r="T399" s="600"/>
      <c r="U399" s="600">
        <f>ROUND(T398*M399,0)</f>
        <v>2</v>
      </c>
      <c r="V399" s="598"/>
    </row>
    <row r="400" spans="1:22" s="604" customFormat="1" x14ac:dyDescent="0.45">
      <c r="A400" s="598"/>
      <c r="B400" s="598"/>
      <c r="C400" s="598"/>
      <c r="D400" s="598"/>
      <c r="E400" s="599"/>
      <c r="F400" s="603"/>
      <c r="G400" s="599"/>
      <c r="H400" s="600"/>
      <c r="I400" s="601"/>
      <c r="J400" s="601"/>
      <c r="K400" s="598"/>
      <c r="L400" s="598" t="s">
        <v>499</v>
      </c>
      <c r="M400" s="602">
        <f>10/15</f>
        <v>0.66666666666666663</v>
      </c>
      <c r="N400" s="602"/>
      <c r="O400" s="600">
        <f>ROUND(H398*M400,0)</f>
        <v>1</v>
      </c>
      <c r="P400" s="600">
        <f>O399-O400</f>
        <v>1</v>
      </c>
      <c r="Q400" s="598"/>
      <c r="R400" s="598"/>
      <c r="S400" s="598"/>
      <c r="T400" s="600"/>
      <c r="U400" s="600">
        <f>ROUND(T398*M400,0)</f>
        <v>1</v>
      </c>
      <c r="V400" s="598"/>
    </row>
    <row r="401" spans="1:22" s="604" customFormat="1" x14ac:dyDescent="0.45">
      <c r="A401" s="598"/>
      <c r="B401" s="598"/>
      <c r="C401" s="598"/>
      <c r="D401" s="598"/>
      <c r="E401" s="599"/>
      <c r="F401" s="603"/>
      <c r="G401" s="599"/>
      <c r="H401" s="600"/>
      <c r="I401" s="601"/>
      <c r="J401" s="601"/>
      <c r="K401" s="598"/>
      <c r="L401" s="598" t="s">
        <v>495</v>
      </c>
      <c r="M401" s="602">
        <f>2/15</f>
        <v>0.13333333333333333</v>
      </c>
      <c r="N401" s="602"/>
      <c r="O401" s="600">
        <f>ROUND(H398*M401,0)</f>
        <v>0</v>
      </c>
      <c r="P401" s="600">
        <f>O399-O401</f>
        <v>2</v>
      </c>
      <c r="Q401" s="598"/>
      <c r="R401" s="598"/>
      <c r="S401" s="598"/>
      <c r="T401" s="600"/>
      <c r="U401" s="600">
        <f>ROUND(T398*M401,0)</f>
        <v>0</v>
      </c>
      <c r="V401" s="598"/>
    </row>
    <row r="402" spans="1:22" s="604" customFormat="1" x14ac:dyDescent="0.45">
      <c r="A402" s="598"/>
      <c r="B402" s="598"/>
      <c r="C402" s="598"/>
      <c r="D402" s="598"/>
      <c r="E402" s="599"/>
      <c r="F402" s="603"/>
      <c r="G402" s="599"/>
      <c r="H402" s="600"/>
      <c r="I402" s="601"/>
      <c r="J402" s="601"/>
      <c r="K402" s="598"/>
      <c r="L402" s="598"/>
      <c r="M402" s="602"/>
      <c r="N402" s="602"/>
      <c r="O402" s="602"/>
      <c r="P402" s="602"/>
      <c r="Q402" s="598"/>
      <c r="R402" s="598"/>
      <c r="S402" s="598"/>
      <c r="T402" s="600"/>
      <c r="U402" s="598"/>
      <c r="V402" s="598"/>
    </row>
    <row r="403" spans="1:22" s="604" customFormat="1" ht="228" x14ac:dyDescent="0.45">
      <c r="A403" s="598"/>
      <c r="B403" s="598" t="s">
        <v>321</v>
      </c>
      <c r="C403" s="598" t="s">
        <v>951</v>
      </c>
      <c r="D403" s="598" t="s">
        <v>704</v>
      </c>
      <c r="E403" s="599">
        <f>DGNBvægtning!I179</f>
        <v>5.1923076923076922E-3</v>
      </c>
      <c r="F403" s="600">
        <f>$F$377*G403</f>
        <v>1.8072289156626509</v>
      </c>
      <c r="G403" s="599">
        <f>E403/$E$377</f>
        <v>3.6144578313253017E-2</v>
      </c>
      <c r="H403" s="600">
        <v>2</v>
      </c>
      <c r="I403" s="601" t="s">
        <v>492</v>
      </c>
      <c r="J403" s="601"/>
      <c r="K403" s="598" t="s">
        <v>1033</v>
      </c>
      <c r="L403" s="598"/>
      <c r="M403" s="602"/>
      <c r="N403" s="603">
        <f>IF('Sortering af spørgsmål'!$C$24=Projektforudsætninger!$C$20,'Dialogpart 1'!$J$120,IF('Sortering af spørgsmål'!$C$24=Projektforudsætninger!$C$21,'Dialogpart 2'!$J$120,IF('Sortering af spørgsmål'!$C$24=Projektforudsætninger!$C$22,'Dialogpart 3'!$J$120,IF('Sortering af spørgsmål'!$C$24=Projektforudsætninger!$C$23,'Dialogpart 4'!$J$120,IF('Sortering af spørgsmål'!$C$24=Projektforudsætninger!$C$24,'Dialogpart 5'!$J$120,IF('Sortering af spørgsmål'!$C$24=Projektforudsætninger!$C$25,'Dialogpart 6'!$J$120,IF('Sortering af spørgsmål'!$C$24=Projektforudsætninger!$C$22,'Dialogpart 7'!$J$120,IF('Sortering af spørgsmål'!$C$24=Projektforudsætninger!$C$23,#REF!,IF('Sortering af spørgsmål'!$C$24=Projektforudsætninger!$C$24,#REF!,IF('Sortering af spørgsmål'!$C$24=Projektforudsætninger!$C$25,#REF!,0))))))))))</f>
        <v>0</v>
      </c>
      <c r="O403" s="603"/>
      <c r="P403" s="603"/>
      <c r="Q403" s="598"/>
      <c r="R403" s="599">
        <f>'Sortering af spørgsmål'!$E$24*(Arbejdsark!E403/SUM($E$388:$E$418))</f>
        <v>6.521739130434784E-3</v>
      </c>
      <c r="S403" s="599">
        <f>R403/$R$377</f>
        <v>4.3478260869565202E-2</v>
      </c>
      <c r="T403" s="600">
        <f>$T$377*S403</f>
        <v>2.1739130434782603</v>
      </c>
      <c r="U403" s="598"/>
      <c r="V403" s="598"/>
    </row>
    <row r="404" spans="1:22" s="604" customFormat="1" x14ac:dyDescent="0.45">
      <c r="A404" s="598"/>
      <c r="B404" s="598"/>
      <c r="C404" s="598"/>
      <c r="D404" s="598"/>
      <c r="E404" s="599"/>
      <c r="F404" s="603"/>
      <c r="G404" s="599"/>
      <c r="H404" s="600"/>
      <c r="I404" s="601"/>
      <c r="J404" s="601"/>
      <c r="K404" s="598"/>
      <c r="L404" s="598" t="s">
        <v>498</v>
      </c>
      <c r="M404" s="602">
        <v>1</v>
      </c>
      <c r="N404" s="602"/>
      <c r="O404" s="600">
        <f>ROUND(H403*M404,0)</f>
        <v>2</v>
      </c>
      <c r="P404" s="600">
        <f>O404-O404</f>
        <v>0</v>
      </c>
      <c r="Q404" s="598"/>
      <c r="R404" s="598"/>
      <c r="S404" s="598"/>
      <c r="T404" s="600"/>
      <c r="U404" s="600">
        <f>ROUND(T403*M404,0)</f>
        <v>2</v>
      </c>
      <c r="V404" s="598"/>
    </row>
    <row r="405" spans="1:22" s="604" customFormat="1" x14ac:dyDescent="0.45">
      <c r="A405" s="598"/>
      <c r="B405" s="598"/>
      <c r="C405" s="598"/>
      <c r="D405" s="598"/>
      <c r="E405" s="599"/>
      <c r="F405" s="603"/>
      <c r="G405" s="599"/>
      <c r="H405" s="600"/>
      <c r="I405" s="601"/>
      <c r="J405" s="601"/>
      <c r="K405" s="598"/>
      <c r="L405" s="598" t="s">
        <v>499</v>
      </c>
      <c r="M405" s="602">
        <v>0.5</v>
      </c>
      <c r="N405" s="602"/>
      <c r="O405" s="600">
        <f>ROUND(H403*M405,0)</f>
        <v>1</v>
      </c>
      <c r="P405" s="600">
        <f>O404-O405</f>
        <v>1</v>
      </c>
      <c r="Q405" s="598"/>
      <c r="R405" s="598"/>
      <c r="S405" s="598"/>
      <c r="T405" s="600"/>
      <c r="U405" s="600">
        <f>ROUND(T403*M405,0)</f>
        <v>1</v>
      </c>
      <c r="V405" s="598"/>
    </row>
    <row r="406" spans="1:22" s="604" customFormat="1" x14ac:dyDescent="0.45">
      <c r="A406" s="598"/>
      <c r="B406" s="598"/>
      <c r="C406" s="598"/>
      <c r="D406" s="598"/>
      <c r="E406" s="599"/>
      <c r="F406" s="603"/>
      <c r="G406" s="599"/>
      <c r="H406" s="600"/>
      <c r="I406" s="601"/>
      <c r="J406" s="601"/>
      <c r="K406" s="598"/>
      <c r="L406" s="598" t="s">
        <v>495</v>
      </c>
      <c r="M406" s="602">
        <v>0</v>
      </c>
      <c r="N406" s="602"/>
      <c r="O406" s="600">
        <f>ROUND(H403*M406,0)</f>
        <v>0</v>
      </c>
      <c r="P406" s="600">
        <f>O404-O406</f>
        <v>2</v>
      </c>
      <c r="Q406" s="598"/>
      <c r="R406" s="598"/>
      <c r="S406" s="598"/>
      <c r="T406" s="600"/>
      <c r="U406" s="600">
        <f>ROUND(T403*M406,0)</f>
        <v>0</v>
      </c>
      <c r="V406" s="598"/>
    </row>
    <row r="407" spans="1:22" s="604" customFormat="1" x14ac:dyDescent="0.45">
      <c r="A407" s="598"/>
      <c r="B407" s="598"/>
      <c r="C407" s="598"/>
      <c r="D407" s="598"/>
      <c r="E407" s="599"/>
      <c r="F407" s="603"/>
      <c r="G407" s="599"/>
      <c r="H407" s="600"/>
      <c r="I407" s="601"/>
      <c r="J407" s="601"/>
      <c r="K407" s="744"/>
      <c r="L407" s="598"/>
      <c r="M407" s="602"/>
      <c r="N407" s="602"/>
      <c r="O407" s="602"/>
      <c r="P407" s="602"/>
      <c r="Q407" s="598"/>
      <c r="R407" s="598"/>
      <c r="S407" s="598"/>
      <c r="T407" s="600"/>
      <c r="U407" s="598"/>
      <c r="V407" s="598"/>
    </row>
    <row r="408" spans="1:22" s="604" customFormat="1" ht="242.25" x14ac:dyDescent="0.45">
      <c r="A408" s="598"/>
      <c r="B408" s="598" t="s">
        <v>735</v>
      </c>
      <c r="C408" s="598" t="s">
        <v>703</v>
      </c>
      <c r="D408" s="598" t="s">
        <v>704</v>
      </c>
      <c r="E408" s="599">
        <f>DGNBvægtning!I179</f>
        <v>5.1923076923076922E-3</v>
      </c>
      <c r="F408" s="600">
        <f>$F$377*G408</f>
        <v>1.8072289156626509</v>
      </c>
      <c r="G408" s="599">
        <f>E408/$E$377</f>
        <v>3.6144578313253017E-2</v>
      </c>
      <c r="H408" s="600">
        <v>2</v>
      </c>
      <c r="I408" s="601" t="s">
        <v>492</v>
      </c>
      <c r="J408" s="601"/>
      <c r="K408" s="598" t="s">
        <v>1034</v>
      </c>
      <c r="L408" s="598"/>
      <c r="M408" s="602"/>
      <c r="N408" s="603">
        <f>IF('Sortering af spørgsmål'!$C$24=Projektforudsætninger!$C$20,'Dialogpart 1'!$J$121,IF('Sortering af spørgsmål'!$C$24=Projektforudsætninger!$C$21,'Dialogpart 2'!$J$121,IF('Sortering af spørgsmål'!$C$24=Projektforudsætninger!$C$22,'Dialogpart 3'!$J$121,IF('Sortering af spørgsmål'!$C$24=Projektforudsætninger!$C$23,'Dialogpart 4'!$J$121,IF('Sortering af spørgsmål'!$C$24=Projektforudsætninger!$C$24,'Dialogpart 5'!$J$121,IF('Sortering af spørgsmål'!$C$24=Projektforudsætninger!$C$25,'Dialogpart 6'!$J$121,IF('Sortering af spørgsmål'!$C$24=Projektforudsætninger!$C$22,'Dialogpart 7'!$J$121,IF('Sortering af spørgsmål'!$C$24=Projektforudsætninger!$C$23,#REF!,IF('Sortering af spørgsmål'!$C$24=Projektforudsætninger!$C$24,#REF!,IF('Sortering af spørgsmål'!$C$24=Projektforudsætninger!$C$25,#REF!,0))))))))))</f>
        <v>0</v>
      </c>
      <c r="O408" s="603"/>
      <c r="P408" s="603"/>
      <c r="Q408" s="598"/>
      <c r="R408" s="599">
        <f>'Sortering af spørgsmål'!$E$24*(Arbejdsark!E408/SUM($E$388:$E$418))</f>
        <v>6.521739130434784E-3</v>
      </c>
      <c r="S408" s="599">
        <f>R408/$R$377</f>
        <v>4.3478260869565202E-2</v>
      </c>
      <c r="T408" s="600">
        <f>$T$377*S408</f>
        <v>2.1739130434782603</v>
      </c>
      <c r="U408" s="598"/>
      <c r="V408" s="598"/>
    </row>
    <row r="409" spans="1:22" s="604" customFormat="1" x14ac:dyDescent="0.45">
      <c r="A409" s="598"/>
      <c r="B409" s="598"/>
      <c r="C409" s="598"/>
      <c r="D409" s="598"/>
      <c r="E409" s="599"/>
      <c r="F409" s="603"/>
      <c r="G409" s="599"/>
      <c r="H409" s="600"/>
      <c r="I409" s="601"/>
      <c r="J409" s="601"/>
      <c r="K409" s="598"/>
      <c r="L409" s="598" t="s">
        <v>498</v>
      </c>
      <c r="M409" s="602">
        <v>1</v>
      </c>
      <c r="N409" s="602"/>
      <c r="O409" s="600">
        <f>ROUND(H408*M409,0)</f>
        <v>2</v>
      </c>
      <c r="P409" s="600">
        <f>O409-O409</f>
        <v>0</v>
      </c>
      <c r="Q409" s="598"/>
      <c r="R409" s="598"/>
      <c r="S409" s="598"/>
      <c r="T409" s="600"/>
      <c r="U409" s="600">
        <f>ROUND(T408*M409,0)</f>
        <v>2</v>
      </c>
      <c r="V409" s="598"/>
    </row>
    <row r="410" spans="1:22" s="604" customFormat="1" x14ac:dyDescent="0.45">
      <c r="A410" s="598"/>
      <c r="B410" s="598"/>
      <c r="C410" s="598"/>
      <c r="D410" s="598"/>
      <c r="E410" s="599"/>
      <c r="F410" s="603"/>
      <c r="G410" s="599"/>
      <c r="H410" s="600"/>
      <c r="I410" s="601"/>
      <c r="J410" s="601"/>
      <c r="K410" s="598"/>
      <c r="L410" s="598" t="s">
        <v>499</v>
      </c>
      <c r="M410" s="602">
        <v>0.5</v>
      </c>
      <c r="N410" s="602"/>
      <c r="O410" s="600">
        <f>ROUND(H408*M410,0)</f>
        <v>1</v>
      </c>
      <c r="P410" s="600">
        <f>O409-O410</f>
        <v>1</v>
      </c>
      <c r="Q410" s="598"/>
      <c r="R410" s="598"/>
      <c r="S410" s="598"/>
      <c r="T410" s="600"/>
      <c r="U410" s="600">
        <f>ROUND(T408*M410,0)</f>
        <v>1</v>
      </c>
      <c r="V410" s="598"/>
    </row>
    <row r="411" spans="1:22" s="604" customFormat="1" x14ac:dyDescent="0.45">
      <c r="A411" s="598"/>
      <c r="B411" s="598"/>
      <c r="C411" s="598"/>
      <c r="D411" s="598"/>
      <c r="E411" s="599"/>
      <c r="F411" s="603"/>
      <c r="G411" s="599"/>
      <c r="H411" s="600"/>
      <c r="I411" s="601"/>
      <c r="J411" s="601"/>
      <c r="K411" s="598"/>
      <c r="L411" s="598" t="s">
        <v>495</v>
      </c>
      <c r="M411" s="602">
        <v>0</v>
      </c>
      <c r="N411" s="602"/>
      <c r="O411" s="600">
        <f>ROUND(H408*M411,0)</f>
        <v>0</v>
      </c>
      <c r="P411" s="600">
        <f>O409-O411</f>
        <v>2</v>
      </c>
      <c r="Q411" s="598"/>
      <c r="R411" s="598"/>
      <c r="S411" s="598"/>
      <c r="T411" s="600"/>
      <c r="U411" s="600">
        <f>ROUND(T408*M411,0)</f>
        <v>0</v>
      </c>
      <c r="V411" s="598"/>
    </row>
    <row r="412" spans="1:22" s="604" customFormat="1" x14ac:dyDescent="0.45">
      <c r="A412" s="598"/>
      <c r="B412" s="598"/>
      <c r="C412" s="598"/>
      <c r="D412" s="598"/>
      <c r="E412" s="599"/>
      <c r="F412" s="603"/>
      <c r="G412" s="599"/>
      <c r="H412" s="600"/>
      <c r="I412" s="601"/>
      <c r="J412" s="601"/>
      <c r="K412" s="598"/>
      <c r="L412" s="598"/>
      <c r="M412" s="602"/>
      <c r="N412" s="602"/>
      <c r="O412" s="602"/>
      <c r="P412" s="602"/>
      <c r="Q412" s="598"/>
      <c r="R412" s="598"/>
      <c r="S412" s="598"/>
      <c r="T412" s="600"/>
      <c r="U412" s="598"/>
      <c r="V412" s="598"/>
    </row>
    <row r="413" spans="1:22" s="604" customFormat="1" ht="228" x14ac:dyDescent="0.45">
      <c r="A413" s="598"/>
      <c r="B413" s="598" t="s">
        <v>323</v>
      </c>
      <c r="C413" s="598" t="s">
        <v>565</v>
      </c>
      <c r="D413" s="598" t="s">
        <v>911</v>
      </c>
      <c r="E413" s="599">
        <f>DGNBvægtning!I178</f>
        <v>5.1923076923076922E-3</v>
      </c>
      <c r="F413" s="600">
        <f>$F$377*G413</f>
        <v>1.8072289156626509</v>
      </c>
      <c r="G413" s="599">
        <f>E413/$E$377</f>
        <v>3.6144578313253017E-2</v>
      </c>
      <c r="H413" s="600">
        <v>2</v>
      </c>
      <c r="I413" s="601" t="s">
        <v>492</v>
      </c>
      <c r="J413" s="601"/>
      <c r="K413" s="598" t="s">
        <v>1035</v>
      </c>
      <c r="L413" s="598"/>
      <c r="M413" s="602"/>
      <c r="N413" s="603">
        <f>IF('Sortering af spørgsmål'!$C$24=Projektforudsætninger!$C$20,'Dialogpart 1'!$J$122,IF('Sortering af spørgsmål'!$C$24=Projektforudsætninger!$C$21,'Dialogpart 2'!$J$122,IF('Sortering af spørgsmål'!$C$24=Projektforudsætninger!$C$22,'Dialogpart 3'!$J$122,IF('Sortering af spørgsmål'!$C$24=Projektforudsætninger!$C$23,'Dialogpart 4'!$J$122,IF('Sortering af spørgsmål'!$C$24=Projektforudsætninger!$C$24,'Dialogpart 5'!$J$122,IF('Sortering af spørgsmål'!$C$24=Projektforudsætninger!$C$25,'Dialogpart 6'!$J$122,IF('Sortering af spørgsmål'!$C$24=Projektforudsætninger!$C$22,'Dialogpart 7'!$J$122,IF('Sortering af spørgsmål'!$C$24=Projektforudsætninger!$C$23,#REF!,IF('Sortering af spørgsmål'!$C$24=Projektforudsætninger!$C$24,#REF!,IF('Sortering af spørgsmål'!$C$24=Projektforudsætninger!$C$25,#REF!,0))))))))))</f>
        <v>0</v>
      </c>
      <c r="O413" s="603"/>
      <c r="P413" s="603"/>
      <c r="Q413" s="598"/>
      <c r="R413" s="599">
        <f>'Sortering af spørgsmål'!$E$24*(Arbejdsark!E413/SUM($E$388:$E$418))</f>
        <v>6.521739130434784E-3</v>
      </c>
      <c r="S413" s="599">
        <f>R413/$R$377</f>
        <v>4.3478260869565202E-2</v>
      </c>
      <c r="T413" s="600">
        <f>$T$377*S413</f>
        <v>2.1739130434782603</v>
      </c>
      <c r="U413" s="598"/>
      <c r="V413" s="598"/>
    </row>
    <row r="414" spans="1:22" s="604" customFormat="1" x14ac:dyDescent="0.45">
      <c r="A414" s="598"/>
      <c r="B414" s="598"/>
      <c r="C414" s="598"/>
      <c r="D414" s="598"/>
      <c r="E414" s="599"/>
      <c r="F414" s="603"/>
      <c r="G414" s="599"/>
      <c r="H414" s="600"/>
      <c r="I414" s="601"/>
      <c r="J414" s="601"/>
      <c r="K414" s="598"/>
      <c r="L414" s="598" t="s">
        <v>498</v>
      </c>
      <c r="M414" s="602">
        <v>1</v>
      </c>
      <c r="N414" s="602"/>
      <c r="O414" s="600">
        <f>ROUND(H413*M414,0)</f>
        <v>2</v>
      </c>
      <c r="P414" s="600">
        <f>O414-O414</f>
        <v>0</v>
      </c>
      <c r="Q414" s="598"/>
      <c r="R414" s="598"/>
      <c r="S414" s="598"/>
      <c r="T414" s="600"/>
      <c r="U414" s="600">
        <f>ROUND(T413*M414,0)</f>
        <v>2</v>
      </c>
      <c r="V414" s="598"/>
    </row>
    <row r="415" spans="1:22" s="604" customFormat="1" x14ac:dyDescent="0.45">
      <c r="A415" s="598"/>
      <c r="B415" s="598"/>
      <c r="C415" s="598"/>
      <c r="D415" s="598"/>
      <c r="E415" s="599"/>
      <c r="F415" s="603"/>
      <c r="G415" s="599"/>
      <c r="H415" s="600"/>
      <c r="I415" s="601"/>
      <c r="J415" s="601"/>
      <c r="K415" s="598"/>
      <c r="L415" s="598" t="s">
        <v>499</v>
      </c>
      <c r="M415" s="602">
        <f>8/15</f>
        <v>0.53333333333333333</v>
      </c>
      <c r="N415" s="602"/>
      <c r="O415" s="600">
        <f>ROUND(H413*M415,0)</f>
        <v>1</v>
      </c>
      <c r="P415" s="600">
        <f>O414-O415</f>
        <v>1</v>
      </c>
      <c r="Q415" s="598"/>
      <c r="R415" s="598"/>
      <c r="S415" s="598"/>
      <c r="T415" s="600"/>
      <c r="U415" s="600">
        <f>ROUND(T413*M415,0)</f>
        <v>1</v>
      </c>
      <c r="V415" s="598"/>
    </row>
    <row r="416" spans="1:22" s="604" customFormat="1" x14ac:dyDescent="0.45">
      <c r="A416" s="598"/>
      <c r="B416" s="598"/>
      <c r="C416" s="598"/>
      <c r="D416" s="598"/>
      <c r="E416" s="599"/>
      <c r="F416" s="603"/>
      <c r="G416" s="599"/>
      <c r="H416" s="600"/>
      <c r="I416" s="601"/>
      <c r="J416" s="601"/>
      <c r="K416" s="598"/>
      <c r="L416" s="598" t="s">
        <v>495</v>
      </c>
      <c r="M416" s="602">
        <f>2/15</f>
        <v>0.13333333333333333</v>
      </c>
      <c r="N416" s="602"/>
      <c r="O416" s="600">
        <f>ROUND(H413*M416,0)</f>
        <v>0</v>
      </c>
      <c r="P416" s="600">
        <f>O414-O416</f>
        <v>2</v>
      </c>
      <c r="Q416" s="598"/>
      <c r="R416" s="598"/>
      <c r="S416" s="598"/>
      <c r="T416" s="600"/>
      <c r="U416" s="600">
        <f>ROUND(T413*M416,0)</f>
        <v>0</v>
      </c>
      <c r="V416" s="598"/>
    </row>
    <row r="417" spans="1:22" s="604" customFormat="1" x14ac:dyDescent="0.45">
      <c r="A417" s="598"/>
      <c r="B417" s="598"/>
      <c r="C417" s="598"/>
      <c r="D417" s="598"/>
      <c r="E417" s="599"/>
      <c r="F417" s="603"/>
      <c r="G417" s="599"/>
      <c r="H417" s="600"/>
      <c r="I417" s="601"/>
      <c r="J417" s="601"/>
      <c r="K417" s="598"/>
      <c r="L417" s="598"/>
      <c r="M417" s="602"/>
      <c r="N417" s="602"/>
      <c r="O417" s="602"/>
      <c r="P417" s="602"/>
      <c r="Q417" s="598"/>
      <c r="R417" s="598"/>
      <c r="S417" s="598"/>
      <c r="T417" s="600"/>
      <c r="U417" s="598"/>
      <c r="V417" s="598"/>
    </row>
    <row r="418" spans="1:22" s="604" customFormat="1" ht="213.75" x14ac:dyDescent="0.45">
      <c r="A418" s="598"/>
      <c r="B418" s="598" t="s">
        <v>325</v>
      </c>
      <c r="C418" s="598" t="s">
        <v>566</v>
      </c>
      <c r="D418" s="598" t="s">
        <v>912</v>
      </c>
      <c r="E418" s="599">
        <f>DGNBvægtning!I177</f>
        <v>3.4615384615384621E-3</v>
      </c>
      <c r="F418" s="600">
        <f>$F$377*G418</f>
        <v>1.2048192771084341</v>
      </c>
      <c r="G418" s="599">
        <f>E418/$E$377</f>
        <v>2.4096385542168683E-2</v>
      </c>
      <c r="H418" s="600">
        <v>2</v>
      </c>
      <c r="I418" s="601" t="s">
        <v>492</v>
      </c>
      <c r="J418" s="601"/>
      <c r="K418" s="598" t="s">
        <v>1036</v>
      </c>
      <c r="L418" s="598"/>
      <c r="M418" s="602"/>
      <c r="N418" s="603">
        <f>IF('Sortering af spørgsmål'!$C$24=Projektforudsætninger!$C$20,'Dialogpart 1'!$J$123,IF('Sortering af spørgsmål'!$C$24=Projektforudsætninger!$C$21,'Dialogpart 2'!$J$123,IF('Sortering af spørgsmål'!$C$24=Projektforudsætninger!$C$22,'Dialogpart 3'!$J$123,IF('Sortering af spørgsmål'!$C$24=Projektforudsætninger!$C$23,'Dialogpart 4'!$J$123,IF('Sortering af spørgsmål'!$C$24=Projektforudsætninger!$C$24,'Dialogpart 5'!$J$123,IF('Sortering af spørgsmål'!$C$24=Projektforudsætninger!$C$25,'Dialogpart 6'!$J$123,IF('Sortering af spørgsmål'!$C$24=Projektforudsætninger!$C$22,'Dialogpart 7'!$J$123,IF('Sortering af spørgsmål'!$C$24=Projektforudsætninger!$C$23,#REF!,IF('Sortering af spørgsmål'!$C$24=Projektforudsætninger!$C$24,#REF!,IF('Sortering af spørgsmål'!$C$24=Projektforudsætninger!$C$25,#REF!,0))))))))))</f>
        <v>0</v>
      </c>
      <c r="O418" s="603"/>
      <c r="P418" s="603"/>
      <c r="Q418" s="598"/>
      <c r="R418" s="599">
        <f>'Sortering af spørgsmål'!$E$24*(Arbejdsark!E418/SUM($E$388:$E$418))</f>
        <v>4.3478260869565235E-3</v>
      </c>
      <c r="S418" s="599">
        <f>R418/$R$377</f>
        <v>2.8985507246376808E-2</v>
      </c>
      <c r="T418" s="600">
        <f>$T$377*S418</f>
        <v>1.4492753623188404</v>
      </c>
      <c r="U418" s="598"/>
      <c r="V418" s="598"/>
    </row>
    <row r="419" spans="1:22" s="604" customFormat="1" x14ac:dyDescent="0.45">
      <c r="A419" s="598"/>
      <c r="B419" s="598"/>
      <c r="C419" s="598"/>
      <c r="D419" s="598"/>
      <c r="E419" s="599"/>
      <c r="F419" s="603"/>
      <c r="G419" s="599"/>
      <c r="H419" s="600"/>
      <c r="I419" s="601"/>
      <c r="J419" s="601"/>
      <c r="K419" s="598"/>
      <c r="L419" s="598" t="s">
        <v>498</v>
      </c>
      <c r="M419" s="602">
        <v>1</v>
      </c>
      <c r="N419" s="602"/>
      <c r="O419" s="600">
        <f>ROUND(H418*M419,0)</f>
        <v>2</v>
      </c>
      <c r="P419" s="600">
        <f>O419-O419</f>
        <v>0</v>
      </c>
      <c r="Q419" s="598"/>
      <c r="R419" s="598"/>
      <c r="S419" s="598"/>
      <c r="T419" s="600"/>
      <c r="U419" s="600">
        <f>ROUND(T418*M419,0)</f>
        <v>1</v>
      </c>
      <c r="V419" s="598"/>
    </row>
    <row r="420" spans="1:22" s="604" customFormat="1" x14ac:dyDescent="0.45">
      <c r="A420" s="598"/>
      <c r="B420" s="598"/>
      <c r="C420" s="598"/>
      <c r="D420" s="598"/>
      <c r="E420" s="599"/>
      <c r="F420" s="603"/>
      <c r="G420" s="599"/>
      <c r="H420" s="600"/>
      <c r="I420" s="601"/>
      <c r="J420" s="601"/>
      <c r="K420" s="598"/>
      <c r="L420" s="598" t="s">
        <v>499</v>
      </c>
      <c r="M420" s="602">
        <v>0.5</v>
      </c>
      <c r="N420" s="602"/>
      <c r="O420" s="600">
        <f>ROUND(H418*M420,0)</f>
        <v>1</v>
      </c>
      <c r="P420" s="600">
        <f>O419-O420</f>
        <v>1</v>
      </c>
      <c r="Q420" s="598"/>
      <c r="R420" s="598"/>
      <c r="S420" s="598"/>
      <c r="T420" s="600"/>
      <c r="U420" s="600">
        <f>ROUND(T418*M420,0)</f>
        <v>1</v>
      </c>
      <c r="V420" s="598"/>
    </row>
    <row r="421" spans="1:22" s="604" customFormat="1" x14ac:dyDescent="0.45">
      <c r="A421" s="598"/>
      <c r="B421" s="598"/>
      <c r="C421" s="598"/>
      <c r="D421" s="598"/>
      <c r="E421" s="599"/>
      <c r="F421" s="603"/>
      <c r="G421" s="599"/>
      <c r="H421" s="600"/>
      <c r="I421" s="601"/>
      <c r="J421" s="601"/>
      <c r="K421" s="598"/>
      <c r="L421" s="598" t="s">
        <v>495</v>
      </c>
      <c r="M421" s="602">
        <v>0</v>
      </c>
      <c r="N421" s="602"/>
      <c r="O421" s="600">
        <f>ROUND(H418*M421,0)</f>
        <v>0</v>
      </c>
      <c r="P421" s="600">
        <f>O419-O421</f>
        <v>2</v>
      </c>
      <c r="Q421" s="598"/>
      <c r="R421" s="598"/>
      <c r="S421" s="598"/>
      <c r="T421" s="600"/>
      <c r="U421" s="600">
        <f>ROUND(T418*M421,0)</f>
        <v>0</v>
      </c>
      <c r="V421" s="598"/>
    </row>
    <row r="422" spans="1:22" s="604" customFormat="1" x14ac:dyDescent="0.45">
      <c r="A422" s="598"/>
      <c r="B422" s="598"/>
      <c r="C422" s="598"/>
      <c r="D422" s="598"/>
      <c r="E422" s="599"/>
      <c r="F422" s="603"/>
      <c r="G422" s="599"/>
      <c r="H422" s="600"/>
      <c r="I422" s="601"/>
      <c r="J422" s="601"/>
      <c r="K422" s="598"/>
      <c r="L422" s="598"/>
      <c r="M422" s="602"/>
      <c r="N422" s="602"/>
      <c r="O422" s="602"/>
      <c r="P422" s="602"/>
      <c r="Q422" s="598"/>
      <c r="R422" s="598"/>
      <c r="S422" s="598"/>
      <c r="T422" s="600"/>
      <c r="U422" s="598"/>
      <c r="V422" s="598"/>
    </row>
    <row r="423" spans="1:22" s="604" customFormat="1" x14ac:dyDescent="0.45">
      <c r="A423" s="598"/>
      <c r="B423" s="598"/>
      <c r="C423" s="598"/>
      <c r="D423" s="598"/>
      <c r="E423" s="599"/>
      <c r="F423" s="603"/>
      <c r="G423" s="599"/>
      <c r="H423" s="600"/>
      <c r="I423" s="601"/>
      <c r="J423" s="601"/>
      <c r="K423" s="598"/>
      <c r="L423" s="598"/>
      <c r="M423" s="602"/>
      <c r="N423" s="602"/>
      <c r="O423" s="602"/>
      <c r="P423" s="602"/>
      <c r="Q423" s="598"/>
      <c r="R423" s="598"/>
      <c r="S423" s="598"/>
      <c r="T423" s="600"/>
      <c r="U423" s="598"/>
      <c r="V423" s="598"/>
    </row>
    <row r="424" spans="1:22" s="604" customFormat="1" ht="213.75" x14ac:dyDescent="0.45">
      <c r="A424" s="598" t="s">
        <v>567</v>
      </c>
      <c r="B424" s="598" t="s">
        <v>392</v>
      </c>
      <c r="C424" s="598" t="s">
        <v>568</v>
      </c>
      <c r="D424" s="598" t="s">
        <v>913</v>
      </c>
      <c r="E424" s="599">
        <f>DGNBvægtning!I192</f>
        <v>5.1923076923076922E-3</v>
      </c>
      <c r="F424" s="600">
        <f>$F$377*G424</f>
        <v>1.8072289156626509</v>
      </c>
      <c r="G424" s="599">
        <f>E424/$E$377</f>
        <v>3.6144578313253017E-2</v>
      </c>
      <c r="H424" s="600">
        <v>2</v>
      </c>
      <c r="I424" s="601" t="s">
        <v>492</v>
      </c>
      <c r="J424" s="601"/>
      <c r="K424" s="598" t="s">
        <v>1037</v>
      </c>
      <c r="L424" s="744"/>
      <c r="M424" s="602"/>
      <c r="N424" s="603">
        <f>IF('Sortering af spørgsmål'!$C$25=Projektforudsætninger!$C$20,'Dialogpart 1'!$J$126,IF('Sortering af spørgsmål'!$C$25=Projektforudsætninger!$C$21,'Dialogpart 2'!$J$126,IF('Sortering af spørgsmål'!$C$25=Projektforudsætninger!$C$22,'Dialogpart 3'!$J$126,IF('Sortering af spørgsmål'!$C$25=Projektforudsætninger!$C$23,'Dialogpart 4'!$J$126,IF('Sortering af spørgsmål'!$C$25=Projektforudsætninger!$C$24,'Dialogpart 5'!$J$126,IF('Sortering af spørgsmål'!$C$25=Projektforudsætninger!$C$25,'Dialogpart 6'!$J$126,IF('Sortering af spørgsmål'!$C$25=Projektforudsætninger!$C$22,'Dialogpart 7'!$J$126,IF('Sortering af spørgsmål'!$C$25=Projektforudsætninger!$C$23,#REF!,IF('Sortering af spørgsmål'!$C$25=Projektforudsætninger!$C$24,#REF!,IF('Sortering af spørgsmål'!$C$25=Projektforudsætninger!$C$25,#REF!,0))))))))))</f>
        <v>0</v>
      </c>
      <c r="O424" s="603"/>
      <c r="P424" s="603"/>
      <c r="Q424" s="598"/>
      <c r="R424" s="599">
        <f>'Sortering af spørgsmål'!$E$25*(Arbejdsark!E424/SUM($E$424:$E$449))</f>
        <v>7.4999999999999997E-3</v>
      </c>
      <c r="S424" s="599">
        <f>R424/$R$377</f>
        <v>4.9999999999999975E-2</v>
      </c>
      <c r="T424" s="600">
        <f>$T$377*S424</f>
        <v>2.4999999999999987</v>
      </c>
      <c r="U424" s="598"/>
      <c r="V424" s="598"/>
    </row>
    <row r="425" spans="1:22" s="604" customFormat="1" x14ac:dyDescent="0.45">
      <c r="A425" s="598"/>
      <c r="B425" s="598"/>
      <c r="C425" s="598"/>
      <c r="D425" s="598"/>
      <c r="E425" s="599"/>
      <c r="F425" s="603"/>
      <c r="G425" s="599"/>
      <c r="H425" s="600"/>
      <c r="I425" s="601"/>
      <c r="J425" s="601"/>
      <c r="K425" s="598"/>
      <c r="L425" s="598" t="s">
        <v>498</v>
      </c>
      <c r="M425" s="602">
        <v>1</v>
      </c>
      <c r="N425" s="602"/>
      <c r="O425" s="600">
        <f>ROUND(H424*M425,0)</f>
        <v>2</v>
      </c>
      <c r="P425" s="600">
        <f>O425-O425</f>
        <v>0</v>
      </c>
      <c r="Q425" s="598"/>
      <c r="R425" s="598"/>
      <c r="S425" s="598"/>
      <c r="T425" s="600"/>
      <c r="U425" s="600">
        <f>ROUND(T424*M425,0)</f>
        <v>3</v>
      </c>
      <c r="V425" s="598"/>
    </row>
    <row r="426" spans="1:22" s="604" customFormat="1" x14ac:dyDescent="0.45">
      <c r="A426" s="598"/>
      <c r="B426" s="598"/>
      <c r="C426" s="598"/>
      <c r="D426" s="598"/>
      <c r="E426" s="599"/>
      <c r="F426" s="603"/>
      <c r="G426" s="599"/>
      <c r="H426" s="600"/>
      <c r="I426" s="601"/>
      <c r="J426" s="601"/>
      <c r="K426" s="598"/>
      <c r="L426" s="598" t="s">
        <v>499</v>
      </c>
      <c r="M426" s="602">
        <v>0.5</v>
      </c>
      <c r="N426" s="602"/>
      <c r="O426" s="600">
        <f>ROUND(H424*M426,0)</f>
        <v>1</v>
      </c>
      <c r="P426" s="600">
        <f>O425-O426</f>
        <v>1</v>
      </c>
      <c r="Q426" s="598"/>
      <c r="R426" s="598"/>
      <c r="S426" s="598"/>
      <c r="T426" s="600"/>
      <c r="U426" s="600">
        <f>ROUND(T424*M426,0)</f>
        <v>1</v>
      </c>
      <c r="V426" s="598"/>
    </row>
    <row r="427" spans="1:22" s="604" customFormat="1" x14ac:dyDescent="0.45">
      <c r="A427" s="598"/>
      <c r="B427" s="598"/>
      <c r="C427" s="598"/>
      <c r="D427" s="598"/>
      <c r="E427" s="599"/>
      <c r="F427" s="603"/>
      <c r="G427" s="599"/>
      <c r="H427" s="600"/>
      <c r="I427" s="601"/>
      <c r="J427" s="601"/>
      <c r="K427" s="598"/>
      <c r="L427" s="598" t="s">
        <v>495</v>
      </c>
      <c r="M427" s="602">
        <v>0</v>
      </c>
      <c r="N427" s="602"/>
      <c r="O427" s="600">
        <f>ROUND(H424*M427,0)</f>
        <v>0</v>
      </c>
      <c r="P427" s="600">
        <f>O425-O427</f>
        <v>2</v>
      </c>
      <c r="Q427" s="598"/>
      <c r="R427" s="598"/>
      <c r="S427" s="598"/>
      <c r="T427" s="600"/>
      <c r="U427" s="600">
        <f>ROUND(T424*M427,0)</f>
        <v>0</v>
      </c>
      <c r="V427" s="598"/>
    </row>
    <row r="428" spans="1:22" s="604" customFormat="1" x14ac:dyDescent="0.45">
      <c r="A428" s="598"/>
      <c r="B428" s="598"/>
      <c r="C428" s="598"/>
      <c r="D428" s="598"/>
      <c r="E428" s="599"/>
      <c r="F428" s="603"/>
      <c r="G428" s="599"/>
      <c r="H428" s="600"/>
      <c r="I428" s="601"/>
      <c r="J428" s="601"/>
      <c r="K428" s="598"/>
      <c r="L428" s="598"/>
      <c r="M428" s="602"/>
      <c r="N428" s="602"/>
      <c r="O428" s="602"/>
      <c r="P428" s="602"/>
      <c r="Q428" s="598"/>
      <c r="R428" s="598"/>
      <c r="S428" s="598"/>
      <c r="T428" s="600"/>
      <c r="U428" s="598"/>
      <c r="V428" s="598"/>
    </row>
    <row r="429" spans="1:22" s="604" customFormat="1" ht="199.5" x14ac:dyDescent="0.45">
      <c r="A429" s="598"/>
      <c r="B429" s="598" t="s">
        <v>394</v>
      </c>
      <c r="C429" s="598" t="s">
        <v>569</v>
      </c>
      <c r="D429" s="598" t="s">
        <v>705</v>
      </c>
      <c r="E429" s="599">
        <f>DGNBvægtning!I193</f>
        <v>6.9230769230769242E-3</v>
      </c>
      <c r="F429" s="600">
        <f>$F$377*G429</f>
        <v>2.4096385542168681</v>
      </c>
      <c r="G429" s="599">
        <f>E429/$E$377</f>
        <v>4.8192771084337366E-2</v>
      </c>
      <c r="H429" s="600">
        <v>3</v>
      </c>
      <c r="I429" s="601" t="s">
        <v>492</v>
      </c>
      <c r="J429" s="601"/>
      <c r="K429" s="598" t="s">
        <v>1038</v>
      </c>
      <c r="L429" s="747"/>
      <c r="M429" s="602"/>
      <c r="N429" s="603">
        <f>IF('Sortering af spørgsmål'!$C$25=Projektforudsætninger!$C$20,'Dialogpart 1'!$J$127,IF('Sortering af spørgsmål'!$C$25=Projektforudsætninger!$C$21,'Dialogpart 2'!$J$127,IF('Sortering af spørgsmål'!$C$25=Projektforudsætninger!$C$22,'Dialogpart 3'!$J$127,IF('Sortering af spørgsmål'!$C$25=Projektforudsætninger!$C$23,'Dialogpart 4'!$J$127,IF('Sortering af spørgsmål'!$C$25=Projektforudsætninger!$C$24,'Dialogpart 5'!$J$127,IF('Sortering af spørgsmål'!$C$25=Projektforudsætninger!$C$25,'Dialogpart 6'!$J$127,IF('Sortering af spørgsmål'!$C$25=Projektforudsætninger!$C$22,'Dialogpart 7'!$J$127,IF('Sortering af spørgsmål'!$C$25=Projektforudsætninger!$C$23,#REF!,IF('Sortering af spørgsmål'!$C$25=Projektforudsætninger!$C$24,#REF!,IF('Sortering af spørgsmål'!$C$25=Projektforudsætninger!$C$25,#REF!,0))))))))))</f>
        <v>0</v>
      </c>
      <c r="O429" s="603"/>
      <c r="P429" s="603"/>
      <c r="Q429" s="598"/>
      <c r="R429" s="599">
        <f>'Sortering af spørgsmål'!$E$25*(Arbejdsark!E429/SUM($E$424:$E$449))</f>
        <v>1.0000000000000002E-2</v>
      </c>
      <c r="S429" s="599">
        <f>R429/$R$377</f>
        <v>6.6666666666666652E-2</v>
      </c>
      <c r="T429" s="600">
        <f>$T$377*S429</f>
        <v>3.3333333333333326</v>
      </c>
      <c r="U429" s="598"/>
      <c r="V429" s="598"/>
    </row>
    <row r="430" spans="1:22" s="604" customFormat="1" x14ac:dyDescent="0.45">
      <c r="A430" s="598"/>
      <c r="B430" s="598"/>
      <c r="C430" s="598"/>
      <c r="D430" s="598"/>
      <c r="E430" s="599"/>
      <c r="F430" s="603"/>
      <c r="G430" s="599"/>
      <c r="H430" s="600"/>
      <c r="I430" s="601"/>
      <c r="J430" s="601"/>
      <c r="K430" s="598"/>
      <c r="L430" s="598" t="s">
        <v>498</v>
      </c>
      <c r="M430" s="602">
        <v>1</v>
      </c>
      <c r="N430" s="602"/>
      <c r="O430" s="600">
        <f>ROUND(H429*M430,0)</f>
        <v>3</v>
      </c>
      <c r="P430" s="600">
        <f>O430-O430</f>
        <v>0</v>
      </c>
      <c r="Q430" s="598"/>
      <c r="R430" s="598"/>
      <c r="S430" s="598"/>
      <c r="T430" s="600"/>
      <c r="U430" s="600">
        <f>ROUND(T429*M430,0)</f>
        <v>3</v>
      </c>
      <c r="V430" s="598"/>
    </row>
    <row r="431" spans="1:22" s="604" customFormat="1" x14ac:dyDescent="0.45">
      <c r="A431" s="598"/>
      <c r="B431" s="598"/>
      <c r="C431" s="598"/>
      <c r="D431" s="598"/>
      <c r="E431" s="599"/>
      <c r="F431" s="603"/>
      <c r="G431" s="599"/>
      <c r="H431" s="600"/>
      <c r="I431" s="601"/>
      <c r="J431" s="601"/>
      <c r="K431" s="598"/>
      <c r="L431" s="598" t="s">
        <v>499</v>
      </c>
      <c r="M431" s="602">
        <v>0.75</v>
      </c>
      <c r="N431" s="602"/>
      <c r="O431" s="600">
        <f>ROUND(H429*M431,0)</f>
        <v>2</v>
      </c>
      <c r="P431" s="600">
        <f>O430-O431</f>
        <v>1</v>
      </c>
      <c r="Q431" s="598"/>
      <c r="R431" s="598"/>
      <c r="S431" s="598"/>
      <c r="T431" s="600"/>
      <c r="U431" s="600">
        <f>ROUND(T429*M431,0)</f>
        <v>3</v>
      </c>
      <c r="V431" s="598"/>
    </row>
    <row r="432" spans="1:22" s="604" customFormat="1" x14ac:dyDescent="0.45">
      <c r="A432" s="598"/>
      <c r="B432" s="598"/>
      <c r="C432" s="598"/>
      <c r="D432" s="598"/>
      <c r="E432" s="599"/>
      <c r="F432" s="603"/>
      <c r="G432" s="599"/>
      <c r="H432" s="600"/>
      <c r="I432" s="601"/>
      <c r="J432" s="601"/>
      <c r="K432" s="598"/>
      <c r="L432" s="598" t="s">
        <v>495</v>
      </c>
      <c r="M432" s="602">
        <v>0</v>
      </c>
      <c r="N432" s="602"/>
      <c r="O432" s="600">
        <f>ROUND(H429*M432,0)</f>
        <v>0</v>
      </c>
      <c r="P432" s="600">
        <f>O430-O432</f>
        <v>3</v>
      </c>
      <c r="Q432" s="598"/>
      <c r="R432" s="598"/>
      <c r="S432" s="598"/>
      <c r="T432" s="600"/>
      <c r="U432" s="600">
        <f>ROUND(T429*M432,0)</f>
        <v>0</v>
      </c>
      <c r="V432" s="598"/>
    </row>
    <row r="433" spans="1:22" s="604" customFormat="1" x14ac:dyDescent="0.45">
      <c r="A433" s="598"/>
      <c r="B433" s="598"/>
      <c r="C433" s="598"/>
      <c r="D433" s="598"/>
      <c r="E433" s="599"/>
      <c r="F433" s="603"/>
      <c r="G433" s="599"/>
      <c r="H433" s="600"/>
      <c r="I433" s="601"/>
      <c r="J433" s="601"/>
      <c r="K433" s="598"/>
      <c r="L433" s="598"/>
      <c r="M433" s="602"/>
      <c r="N433" s="602"/>
      <c r="O433" s="602"/>
      <c r="P433" s="602"/>
      <c r="Q433" s="598"/>
      <c r="R433" s="598"/>
      <c r="S433" s="598"/>
      <c r="T433" s="600"/>
      <c r="U433" s="598"/>
      <c r="V433" s="598"/>
    </row>
    <row r="434" spans="1:22" s="604" customFormat="1" ht="228" x14ac:dyDescent="0.45">
      <c r="A434" s="598"/>
      <c r="B434" s="598" t="s">
        <v>404</v>
      </c>
      <c r="C434" s="598" t="s">
        <v>402</v>
      </c>
      <c r="D434" s="598" t="s">
        <v>706</v>
      </c>
      <c r="E434" s="599">
        <f>DGNBvægtning!I194</f>
        <v>6.9230769230769242E-3</v>
      </c>
      <c r="F434" s="600">
        <f>$F$377*G434</f>
        <v>2.4096385542168681</v>
      </c>
      <c r="G434" s="599">
        <f>E434/$E$377</f>
        <v>4.8192771084337366E-2</v>
      </c>
      <c r="H434" s="600">
        <v>3</v>
      </c>
      <c r="I434" s="601" t="s">
        <v>492</v>
      </c>
      <c r="J434" s="601"/>
      <c r="K434" s="598" t="s">
        <v>1039</v>
      </c>
      <c r="L434" s="744"/>
      <c r="M434" s="602"/>
      <c r="N434" s="603">
        <f>IF('Sortering af spørgsmål'!$C$25=Projektforudsætninger!$C$20,'Dialogpart 1'!$J$128,IF('Sortering af spørgsmål'!$C$25=Projektforudsætninger!$C$21,'Dialogpart 2'!$J$128,IF('Sortering af spørgsmål'!$C$25=Projektforudsætninger!$C$22,'Dialogpart 3'!$J$128,IF('Sortering af spørgsmål'!$C$25=Projektforudsætninger!$C$23,'Dialogpart 4'!$J$128,IF('Sortering af spørgsmål'!$C$25=Projektforudsætninger!$C$24,'Dialogpart 5'!$J$128,IF('Sortering af spørgsmål'!$C$25=Projektforudsætninger!$C$25,'Dialogpart 6'!$J$128,IF('Sortering af spørgsmål'!$C$25=Projektforudsætninger!$C$22,'Dialogpart 7'!$J$128,IF('Sortering af spørgsmål'!$C$25=Projektforudsætninger!$C$23,#REF!,IF('Sortering af spørgsmål'!$C$25=Projektforudsætninger!$C$24,#REF!,IF('Sortering af spørgsmål'!$C$25=Projektforudsætninger!$C$25,#REF!,0))))))))))</f>
        <v>0</v>
      </c>
      <c r="O434" s="603"/>
      <c r="P434" s="603"/>
      <c r="Q434" s="598"/>
      <c r="R434" s="599">
        <f>'Sortering af spørgsmål'!$E$25*(Arbejdsark!E434/SUM($E$424:$E$449))</f>
        <v>1.0000000000000002E-2</v>
      </c>
      <c r="S434" s="599">
        <f>R434/$R$377</f>
        <v>6.6666666666666652E-2</v>
      </c>
      <c r="T434" s="600">
        <f>$T$377*S434</f>
        <v>3.3333333333333326</v>
      </c>
      <c r="U434" s="598"/>
      <c r="V434" s="598"/>
    </row>
    <row r="435" spans="1:22" s="604" customFormat="1" x14ac:dyDescent="0.45">
      <c r="A435" s="598"/>
      <c r="B435" s="598"/>
      <c r="C435" s="598"/>
      <c r="D435" s="598"/>
      <c r="E435" s="599"/>
      <c r="F435" s="603"/>
      <c r="G435" s="599"/>
      <c r="H435" s="600"/>
      <c r="I435" s="601"/>
      <c r="J435" s="601"/>
      <c r="K435" s="598"/>
      <c r="L435" s="598" t="s">
        <v>498</v>
      </c>
      <c r="M435" s="602">
        <v>1</v>
      </c>
      <c r="N435" s="602"/>
      <c r="O435" s="600">
        <f>ROUND(H434*M435,0)</f>
        <v>3</v>
      </c>
      <c r="P435" s="600">
        <f>O435-O435</f>
        <v>0</v>
      </c>
      <c r="Q435" s="598"/>
      <c r="R435" s="598"/>
      <c r="S435" s="598"/>
      <c r="T435" s="600"/>
      <c r="U435" s="600">
        <f>ROUND(T434*M435,0)</f>
        <v>3</v>
      </c>
      <c r="V435" s="598"/>
    </row>
    <row r="436" spans="1:22" s="604" customFormat="1" x14ac:dyDescent="0.45">
      <c r="A436" s="598"/>
      <c r="B436" s="598"/>
      <c r="C436" s="598"/>
      <c r="D436" s="598"/>
      <c r="E436" s="599"/>
      <c r="F436" s="603"/>
      <c r="G436" s="599"/>
      <c r="H436" s="600"/>
      <c r="I436" s="601"/>
      <c r="J436" s="601"/>
      <c r="K436" s="598"/>
      <c r="L436" s="598" t="s">
        <v>499</v>
      </c>
      <c r="M436" s="602">
        <v>0.5</v>
      </c>
      <c r="N436" s="602"/>
      <c r="O436" s="600">
        <f>ROUND(H434*M436,0)</f>
        <v>2</v>
      </c>
      <c r="P436" s="600">
        <f>O435-O436</f>
        <v>1</v>
      </c>
      <c r="Q436" s="598"/>
      <c r="R436" s="598"/>
      <c r="S436" s="598"/>
      <c r="T436" s="600"/>
      <c r="U436" s="600">
        <f>ROUND(T434*M436,0)</f>
        <v>2</v>
      </c>
      <c r="V436" s="598"/>
    </row>
    <row r="437" spans="1:22" s="604" customFormat="1" x14ac:dyDescent="0.45">
      <c r="A437" s="598"/>
      <c r="B437" s="598"/>
      <c r="C437" s="598"/>
      <c r="D437" s="598"/>
      <c r="E437" s="599"/>
      <c r="F437" s="603"/>
      <c r="G437" s="599"/>
      <c r="H437" s="600"/>
      <c r="I437" s="601"/>
      <c r="J437" s="601"/>
      <c r="K437" s="598"/>
      <c r="L437" s="598" t="s">
        <v>495</v>
      </c>
      <c r="M437" s="602">
        <v>0</v>
      </c>
      <c r="N437" s="602"/>
      <c r="O437" s="600">
        <f>ROUND(H434*M437,0)</f>
        <v>0</v>
      </c>
      <c r="P437" s="600">
        <f>O435-O437</f>
        <v>3</v>
      </c>
      <c r="Q437" s="598"/>
      <c r="R437" s="598"/>
      <c r="S437" s="598"/>
      <c r="T437" s="600"/>
      <c r="U437" s="600">
        <f>ROUND(T434*M437,0)</f>
        <v>0</v>
      </c>
      <c r="V437" s="598"/>
    </row>
    <row r="438" spans="1:22" s="604" customFormat="1" x14ac:dyDescent="0.45">
      <c r="A438" s="598"/>
      <c r="B438" s="598"/>
      <c r="C438" s="598"/>
      <c r="D438" s="598"/>
      <c r="E438" s="599"/>
      <c r="F438" s="603"/>
      <c r="G438" s="599"/>
      <c r="H438" s="600"/>
      <c r="I438" s="601"/>
      <c r="J438" s="601"/>
      <c r="K438" s="598"/>
      <c r="L438" s="598"/>
      <c r="M438" s="602"/>
      <c r="N438" s="602"/>
      <c r="O438" s="602"/>
      <c r="P438" s="602"/>
      <c r="Q438" s="598"/>
      <c r="R438" s="598"/>
      <c r="S438" s="598"/>
      <c r="T438" s="600"/>
      <c r="U438" s="598"/>
      <c r="V438" s="598"/>
    </row>
    <row r="439" spans="1:22" s="604" customFormat="1" ht="213.75" x14ac:dyDescent="0.45">
      <c r="A439" s="598"/>
      <c r="B439" s="598" t="s">
        <v>406</v>
      </c>
      <c r="C439" s="598" t="s">
        <v>538</v>
      </c>
      <c r="D439" s="598" t="s">
        <v>914</v>
      </c>
      <c r="E439" s="599">
        <f>DGNBvægtning!I195</f>
        <v>6.9230769230769242E-3</v>
      </c>
      <c r="F439" s="600">
        <f>$F$377*G439</f>
        <v>2.4096385542168681</v>
      </c>
      <c r="G439" s="599">
        <f>E439/$E$377</f>
        <v>4.8192771084337366E-2</v>
      </c>
      <c r="H439" s="600">
        <v>3</v>
      </c>
      <c r="I439" s="601" t="s">
        <v>492</v>
      </c>
      <c r="J439" s="601"/>
      <c r="K439" s="598" t="s">
        <v>1040</v>
      </c>
      <c r="L439" s="598"/>
      <c r="M439" s="602"/>
      <c r="N439" s="603">
        <f>IF('Sortering af spørgsmål'!$C$25=Projektforudsætninger!$C$20,'Dialogpart 1'!$J$129,IF('Sortering af spørgsmål'!$C$25=Projektforudsætninger!$C$21,'Dialogpart 2'!$J$129,IF('Sortering af spørgsmål'!$C$25=Projektforudsætninger!$C$22,'Dialogpart 3'!$J$129,IF('Sortering af spørgsmål'!$C$25=Projektforudsætninger!$C$23,'Dialogpart 4'!$J$129,IF('Sortering af spørgsmål'!$C$25=Projektforudsætninger!$C$24,'Dialogpart 5'!$J$129,IF('Sortering af spørgsmål'!$C$25=Projektforudsætninger!$C$25,'Dialogpart 6'!$J$129,IF('Sortering af spørgsmål'!$C$25=Projektforudsætninger!$C$22,'Dialogpart 7'!$J$129,IF('Sortering af spørgsmål'!$C$25=Projektforudsætninger!$C$23,#REF!,IF('Sortering af spørgsmål'!$C$25=Projektforudsætninger!$C$24,#REF!,IF('Sortering af spørgsmål'!$C$25=Projektforudsætninger!$C$25,#REF!,0))))))))))</f>
        <v>0</v>
      </c>
      <c r="O439" s="603"/>
      <c r="P439" s="603"/>
      <c r="Q439" s="598"/>
      <c r="R439" s="599">
        <f>'Sortering af spørgsmål'!$E$25*(Arbejdsark!E439/SUM($E$424:$E$449))</f>
        <v>1.0000000000000002E-2</v>
      </c>
      <c r="S439" s="599">
        <f>R439/$R$377</f>
        <v>6.6666666666666652E-2</v>
      </c>
      <c r="T439" s="600">
        <f>$T$377*S439</f>
        <v>3.3333333333333326</v>
      </c>
      <c r="U439" s="598"/>
      <c r="V439" s="598"/>
    </row>
    <row r="440" spans="1:22" s="604" customFormat="1" x14ac:dyDescent="0.45">
      <c r="A440" s="598"/>
      <c r="B440" s="598"/>
      <c r="C440" s="598"/>
      <c r="D440" s="598"/>
      <c r="E440" s="599"/>
      <c r="F440" s="603"/>
      <c r="G440" s="599"/>
      <c r="H440" s="600"/>
      <c r="I440" s="601"/>
      <c r="J440" s="601"/>
      <c r="K440" s="598"/>
      <c r="L440" s="598" t="s">
        <v>498</v>
      </c>
      <c r="M440" s="602">
        <v>1</v>
      </c>
      <c r="N440" s="602"/>
      <c r="O440" s="600">
        <f>ROUND(H439*M440,0)</f>
        <v>3</v>
      </c>
      <c r="P440" s="600">
        <f>O440-O440</f>
        <v>0</v>
      </c>
      <c r="Q440" s="598"/>
      <c r="R440" s="598"/>
      <c r="S440" s="598"/>
      <c r="T440" s="600"/>
      <c r="U440" s="600">
        <f>ROUND(T439*M440,0)</f>
        <v>3</v>
      </c>
      <c r="V440" s="598"/>
    </row>
    <row r="441" spans="1:22" s="604" customFormat="1" x14ac:dyDescent="0.45">
      <c r="A441" s="598"/>
      <c r="B441" s="598"/>
      <c r="C441" s="598"/>
      <c r="D441" s="598"/>
      <c r="E441" s="599"/>
      <c r="F441" s="603"/>
      <c r="G441" s="599"/>
      <c r="H441" s="600"/>
      <c r="I441" s="601"/>
      <c r="J441" s="601"/>
      <c r="K441" s="598"/>
      <c r="L441" s="598" t="s">
        <v>499</v>
      </c>
      <c r="M441" s="602">
        <v>0.5</v>
      </c>
      <c r="N441" s="602"/>
      <c r="O441" s="600">
        <f>ROUND(H439*M441,0)</f>
        <v>2</v>
      </c>
      <c r="P441" s="600">
        <f>O440-O441</f>
        <v>1</v>
      </c>
      <c r="Q441" s="598"/>
      <c r="R441" s="598"/>
      <c r="S441" s="598"/>
      <c r="T441" s="600"/>
      <c r="U441" s="600">
        <f>ROUND(T439*M441,0)</f>
        <v>2</v>
      </c>
      <c r="V441" s="598"/>
    </row>
    <row r="442" spans="1:22" s="604" customFormat="1" x14ac:dyDescent="0.45">
      <c r="A442" s="598"/>
      <c r="B442" s="598"/>
      <c r="C442" s="598"/>
      <c r="D442" s="598"/>
      <c r="E442" s="599"/>
      <c r="F442" s="603"/>
      <c r="G442" s="599"/>
      <c r="H442" s="600"/>
      <c r="I442" s="601"/>
      <c r="J442" s="601"/>
      <c r="K442" s="598"/>
      <c r="L442" s="598" t="s">
        <v>495</v>
      </c>
      <c r="M442" s="602">
        <v>0</v>
      </c>
      <c r="N442" s="602"/>
      <c r="O442" s="600">
        <f>ROUND(H439*M442,0)</f>
        <v>0</v>
      </c>
      <c r="P442" s="600">
        <f>O440-O442</f>
        <v>3</v>
      </c>
      <c r="Q442" s="598"/>
      <c r="R442" s="598"/>
      <c r="S442" s="598"/>
      <c r="T442" s="600"/>
      <c r="U442" s="600">
        <f>ROUND(T439*M442,0)</f>
        <v>0</v>
      </c>
      <c r="V442" s="598"/>
    </row>
    <row r="443" spans="1:22" s="604" customFormat="1" x14ac:dyDescent="0.45">
      <c r="A443" s="598"/>
      <c r="B443" s="598"/>
      <c r="C443" s="598"/>
      <c r="D443" s="598"/>
      <c r="E443" s="599"/>
      <c r="F443" s="603"/>
      <c r="G443" s="599"/>
      <c r="H443" s="600"/>
      <c r="I443" s="601"/>
      <c r="J443" s="601"/>
      <c r="K443" s="598"/>
      <c r="L443" s="598"/>
      <c r="M443" s="602"/>
      <c r="N443" s="602"/>
      <c r="O443" s="602"/>
      <c r="P443" s="602"/>
      <c r="Q443" s="598"/>
      <c r="R443" s="598"/>
      <c r="S443" s="598"/>
      <c r="T443" s="600"/>
      <c r="U443" s="598"/>
      <c r="V443" s="598"/>
    </row>
    <row r="444" spans="1:22" s="604" customFormat="1" ht="238.5" customHeight="1" x14ac:dyDescent="0.45">
      <c r="A444" s="598"/>
      <c r="B444" s="598" t="s">
        <v>756</v>
      </c>
      <c r="C444" s="598" t="s">
        <v>570</v>
      </c>
      <c r="D444" s="598" t="s">
        <v>915</v>
      </c>
      <c r="E444" s="599">
        <f>0.75*DGNBvægtning!I196+DGNBvægtning!I197</f>
        <v>6.9230769230769242E-3</v>
      </c>
      <c r="F444" s="600">
        <f>$F$377*G444</f>
        <v>2.4096385542168681</v>
      </c>
      <c r="G444" s="599">
        <f>E444/$E$377</f>
        <v>4.8192771084337366E-2</v>
      </c>
      <c r="H444" s="600">
        <v>3</v>
      </c>
      <c r="I444" s="601" t="s">
        <v>492</v>
      </c>
      <c r="J444" s="601"/>
      <c r="K444" s="598" t="s">
        <v>1041</v>
      </c>
      <c r="L444" s="598"/>
      <c r="M444" s="602"/>
      <c r="N444" s="603">
        <f>IF('Sortering af spørgsmål'!$C$25=Projektforudsætninger!$C$20,'Dialogpart 1'!$J$130,IF('Sortering af spørgsmål'!$C$25=Projektforudsætninger!$C$21,'Dialogpart 2'!$J$130,IF('Sortering af spørgsmål'!$C$25=Projektforudsætninger!$C$22,'Dialogpart 3'!$J$130,IF('Sortering af spørgsmål'!$C$25=Projektforudsætninger!$C$23,'Dialogpart 4'!$J$130,IF('Sortering af spørgsmål'!$C$25=Projektforudsætninger!$C$24,'Dialogpart 5'!$J$130,IF('Sortering af spørgsmål'!$C$25=Projektforudsætninger!$C$25,'Dialogpart 6'!$J$130,IF('Sortering af spørgsmål'!$C$25=Projektforudsætninger!$C$22,'Dialogpart 7'!$J$130,IF('Sortering af spørgsmål'!$C$25=Projektforudsætninger!$C$23,#REF!,IF('Sortering af spørgsmål'!$C$25=Projektforudsætninger!$C$24,#REF!,IF('Sortering af spørgsmål'!$C$25=Projektforudsætninger!$C$25,#REF!,0))))))))))</f>
        <v>0</v>
      </c>
      <c r="O444" s="603"/>
      <c r="P444" s="603"/>
      <c r="Q444" s="598"/>
      <c r="R444" s="599">
        <f>'Sortering af spørgsmål'!$E$25*(Arbejdsark!E444/SUM($E$424:$E$449))</f>
        <v>1.0000000000000002E-2</v>
      </c>
      <c r="S444" s="599">
        <f>R444/$R$377</f>
        <v>6.6666666666666652E-2</v>
      </c>
      <c r="T444" s="600">
        <f>$T$377*S444</f>
        <v>3.3333333333333326</v>
      </c>
      <c r="U444" s="598"/>
      <c r="V444" s="598"/>
    </row>
    <row r="445" spans="1:22" s="604" customFormat="1" x14ac:dyDescent="0.45">
      <c r="A445" s="598"/>
      <c r="B445" s="598"/>
      <c r="C445" s="598"/>
      <c r="D445" s="598"/>
      <c r="E445" s="599"/>
      <c r="F445" s="603"/>
      <c r="G445" s="599"/>
      <c r="H445" s="600"/>
      <c r="I445" s="601"/>
      <c r="J445" s="601"/>
      <c r="K445" s="598"/>
      <c r="L445" s="598" t="s">
        <v>498</v>
      </c>
      <c r="M445" s="602">
        <v>1</v>
      </c>
      <c r="N445" s="603"/>
      <c r="O445" s="600">
        <f>ROUND(H444*M445,0)</f>
        <v>3</v>
      </c>
      <c r="P445" s="600">
        <f>O445-O445</f>
        <v>0</v>
      </c>
      <c r="Q445" s="598"/>
      <c r="R445" s="598"/>
      <c r="S445" s="598"/>
      <c r="T445" s="600"/>
      <c r="U445" s="600">
        <f>ROUND(T444*M445,0)</f>
        <v>3</v>
      </c>
      <c r="V445" s="598"/>
    </row>
    <row r="446" spans="1:22" s="604" customFormat="1" x14ac:dyDescent="0.45">
      <c r="A446" s="598"/>
      <c r="B446" s="598"/>
      <c r="C446" s="598"/>
      <c r="D446" s="598"/>
      <c r="E446" s="599"/>
      <c r="F446" s="603"/>
      <c r="G446" s="599"/>
      <c r="H446" s="600"/>
      <c r="I446" s="601"/>
      <c r="J446" s="601"/>
      <c r="K446" s="598"/>
      <c r="L446" s="598" t="s">
        <v>499</v>
      </c>
      <c r="M446" s="602">
        <v>0.5</v>
      </c>
      <c r="N446" s="602"/>
      <c r="O446" s="600">
        <f>ROUND(H444*M446,0)</f>
        <v>2</v>
      </c>
      <c r="P446" s="600">
        <f>O445-O446</f>
        <v>1</v>
      </c>
      <c r="Q446" s="598"/>
      <c r="R446" s="598"/>
      <c r="S446" s="598"/>
      <c r="T446" s="600"/>
      <c r="U446" s="600">
        <f>ROUND(T444*M446,0)</f>
        <v>2</v>
      </c>
      <c r="V446" s="598"/>
    </row>
    <row r="447" spans="1:22" s="604" customFormat="1" x14ac:dyDescent="0.45">
      <c r="A447" s="598"/>
      <c r="B447" s="598"/>
      <c r="C447" s="598"/>
      <c r="D447" s="598"/>
      <c r="E447" s="599"/>
      <c r="F447" s="603"/>
      <c r="G447" s="599"/>
      <c r="H447" s="600"/>
      <c r="I447" s="601"/>
      <c r="J447" s="601"/>
      <c r="K447" s="598"/>
      <c r="L447" s="598" t="s">
        <v>495</v>
      </c>
      <c r="M447" s="602">
        <v>0</v>
      </c>
      <c r="N447" s="603"/>
      <c r="O447" s="600">
        <f>ROUND(H444*M447,0)</f>
        <v>0</v>
      </c>
      <c r="P447" s="600">
        <f>O445-O447</f>
        <v>3</v>
      </c>
      <c r="Q447" s="598"/>
      <c r="R447" s="598"/>
      <c r="S447" s="598"/>
      <c r="T447" s="600"/>
      <c r="U447" s="600">
        <f>ROUND(T444*M447,0)</f>
        <v>0</v>
      </c>
      <c r="V447" s="598"/>
    </row>
    <row r="448" spans="1:22" s="604" customFormat="1" x14ac:dyDescent="0.45">
      <c r="A448" s="598"/>
      <c r="B448" s="598"/>
      <c r="C448" s="598"/>
      <c r="D448" s="598"/>
      <c r="E448" s="599"/>
      <c r="F448" s="603"/>
      <c r="G448" s="599"/>
      <c r="H448" s="600"/>
      <c r="I448" s="601"/>
      <c r="J448" s="601"/>
      <c r="K448" s="598"/>
      <c r="L448" s="598"/>
      <c r="M448" s="602"/>
      <c r="N448" s="602"/>
      <c r="O448" s="602"/>
      <c r="P448" s="602"/>
      <c r="Q448" s="598"/>
      <c r="R448" s="598"/>
      <c r="S448" s="598"/>
      <c r="T448" s="600"/>
      <c r="U448" s="598"/>
      <c r="V448" s="598"/>
    </row>
    <row r="449" spans="1:22" s="604" customFormat="1" ht="242.25" x14ac:dyDescent="0.45">
      <c r="A449" s="598"/>
      <c r="B449" s="598" t="s">
        <v>757</v>
      </c>
      <c r="C449" s="598" t="s">
        <v>571</v>
      </c>
      <c r="D449" s="598" t="s">
        <v>916</v>
      </c>
      <c r="E449" s="599">
        <f>0.25*DGNBvægtning!I196</f>
        <v>1.730769230769231E-3</v>
      </c>
      <c r="F449" s="600">
        <f>$F$377*G449</f>
        <v>0.60240963855421703</v>
      </c>
      <c r="G449" s="599">
        <f>E449/$E$377</f>
        <v>1.2048192771084341E-2</v>
      </c>
      <c r="H449" s="600">
        <v>2</v>
      </c>
      <c r="I449" s="601" t="s">
        <v>492</v>
      </c>
      <c r="J449" s="601"/>
      <c r="K449" s="598" t="s">
        <v>1042</v>
      </c>
      <c r="L449" s="598"/>
      <c r="M449" s="602"/>
      <c r="N449" s="603">
        <f>IF('Sortering af spørgsmål'!$C$25=Projektforudsætninger!$C$20,'Dialogpart 1'!$J$131,IF('Sortering af spørgsmål'!$C$25=Projektforudsætninger!$C$21,'Dialogpart 2'!$J$131,IF('Sortering af spørgsmål'!$C$25=Projektforudsætninger!$C$22,'Dialogpart 3'!$J$131,IF('Sortering af spørgsmål'!$C$25=Projektforudsætninger!$C$23,'Dialogpart 4'!$J$131,IF('Sortering af spørgsmål'!$C$25=Projektforudsætninger!$C$24,'Dialogpart 5'!$J$131,IF('Sortering af spørgsmål'!$C$25=Projektforudsætninger!$C$25,'Dialogpart 6'!$J$131,IF('Sortering af spørgsmål'!$C$25=Projektforudsætninger!$C$22,'Dialogpart 7'!$J$131,IF('Sortering af spørgsmål'!$C$25=Projektforudsætninger!$C$23,#REF!,IF('Sortering af spørgsmål'!$C$25=Projektforudsætninger!$C$24,#REF!,IF('Sortering af spørgsmål'!$C$25=Projektforudsætninger!$C$25,#REF!,0))))))))))</f>
        <v>0</v>
      </c>
      <c r="O449" s="603"/>
      <c r="P449" s="603"/>
      <c r="Q449" s="598"/>
      <c r="R449" s="599">
        <f>'Sortering af spørgsmål'!$E$25*(Arbejdsark!E449/SUM($E$424:$E$449))</f>
        <v>2.5000000000000005E-3</v>
      </c>
      <c r="S449" s="599">
        <f>R449/$R$377</f>
        <v>1.6666666666666663E-2</v>
      </c>
      <c r="T449" s="600">
        <f>$T$377*S449</f>
        <v>0.83333333333333315</v>
      </c>
      <c r="U449" s="598"/>
      <c r="V449" s="598"/>
    </row>
    <row r="450" spans="1:22" s="604" customFormat="1" x14ac:dyDescent="0.45">
      <c r="A450" s="598"/>
      <c r="B450" s="598"/>
      <c r="C450" s="598"/>
      <c r="D450" s="598"/>
      <c r="E450" s="599"/>
      <c r="F450" s="603"/>
      <c r="G450" s="599"/>
      <c r="H450" s="600"/>
      <c r="I450" s="601"/>
      <c r="J450" s="601"/>
      <c r="K450" s="598"/>
      <c r="L450" s="598" t="s">
        <v>498</v>
      </c>
      <c r="M450" s="602">
        <v>1</v>
      </c>
      <c r="N450" s="602"/>
      <c r="O450" s="600">
        <f>ROUND(H449*M450,0)</f>
        <v>2</v>
      </c>
      <c r="P450" s="600">
        <f>O450-O450</f>
        <v>0</v>
      </c>
      <c r="Q450" s="598"/>
      <c r="R450" s="598"/>
      <c r="S450" s="598"/>
      <c r="T450" s="600"/>
      <c r="U450" s="600">
        <f>ROUND(T449*M450,0)</f>
        <v>1</v>
      </c>
      <c r="V450" s="598"/>
    </row>
    <row r="451" spans="1:22" s="604" customFormat="1" x14ac:dyDescent="0.45">
      <c r="A451" s="598"/>
      <c r="B451" s="598"/>
      <c r="C451" s="598"/>
      <c r="D451" s="598"/>
      <c r="E451" s="599"/>
      <c r="F451" s="603"/>
      <c r="G451" s="599"/>
      <c r="H451" s="600"/>
      <c r="I451" s="601"/>
      <c r="J451" s="601"/>
      <c r="K451" s="598"/>
      <c r="L451" s="598" t="s">
        <v>499</v>
      </c>
      <c r="M451" s="602">
        <v>0.5</v>
      </c>
      <c r="N451" s="602"/>
      <c r="O451" s="600">
        <f>ROUND(H449*M451,0)</f>
        <v>1</v>
      </c>
      <c r="P451" s="600">
        <f>O450-O451</f>
        <v>1</v>
      </c>
      <c r="Q451" s="598"/>
      <c r="R451" s="598"/>
      <c r="S451" s="598"/>
      <c r="T451" s="600"/>
      <c r="U451" s="600">
        <f>ROUND(T449*M451,0)</f>
        <v>0</v>
      </c>
      <c r="V451" s="598"/>
    </row>
    <row r="452" spans="1:22" s="604" customFormat="1" x14ac:dyDescent="0.45">
      <c r="A452" s="598"/>
      <c r="B452" s="598"/>
      <c r="C452" s="598"/>
      <c r="D452" s="598"/>
      <c r="E452" s="599"/>
      <c r="F452" s="603"/>
      <c r="G452" s="599"/>
      <c r="H452" s="600"/>
      <c r="I452" s="601"/>
      <c r="J452" s="601"/>
      <c r="K452" s="598"/>
      <c r="L452" s="598" t="s">
        <v>495</v>
      </c>
      <c r="M452" s="602">
        <v>0</v>
      </c>
      <c r="N452" s="602"/>
      <c r="O452" s="600">
        <f>ROUND(H449*M452,0)</f>
        <v>0</v>
      </c>
      <c r="P452" s="600">
        <f>O450-O452</f>
        <v>2</v>
      </c>
      <c r="Q452" s="598"/>
      <c r="R452" s="598"/>
      <c r="S452" s="598"/>
      <c r="T452" s="600"/>
      <c r="U452" s="600">
        <f>ROUND(T449*M452,0)</f>
        <v>0</v>
      </c>
      <c r="V452" s="598"/>
    </row>
    <row r="453" spans="1:22" s="604" customFormat="1" x14ac:dyDescent="0.45">
      <c r="A453" s="598"/>
      <c r="B453" s="598"/>
      <c r="C453" s="598"/>
      <c r="D453" s="598"/>
      <c r="E453" s="599"/>
      <c r="F453" s="603"/>
      <c r="G453" s="599"/>
      <c r="H453" s="600"/>
      <c r="I453" s="601"/>
      <c r="J453" s="601"/>
      <c r="K453" s="744"/>
      <c r="L453" s="598"/>
      <c r="M453" s="602"/>
      <c r="N453" s="602"/>
      <c r="O453" s="602"/>
      <c r="P453" s="602"/>
      <c r="Q453" s="598"/>
      <c r="R453" s="598"/>
      <c r="S453" s="598"/>
      <c r="T453" s="600"/>
      <c r="U453" s="598"/>
      <c r="V453" s="598"/>
    </row>
    <row r="454" spans="1:22" s="604" customFormat="1" x14ac:dyDescent="0.45">
      <c r="A454" s="598"/>
      <c r="B454" s="598"/>
      <c r="C454" s="598"/>
      <c r="D454" s="598"/>
      <c r="E454" s="599"/>
      <c r="F454" s="603"/>
      <c r="G454" s="599"/>
      <c r="H454" s="600"/>
      <c r="I454" s="601"/>
      <c r="J454" s="601"/>
      <c r="K454" s="598"/>
      <c r="L454" s="598"/>
      <c r="M454" s="602"/>
      <c r="N454" s="602"/>
      <c r="O454" s="602"/>
      <c r="P454" s="602"/>
      <c r="Q454" s="598"/>
      <c r="R454" s="598"/>
      <c r="S454" s="598"/>
      <c r="T454" s="600"/>
      <c r="U454" s="598"/>
      <c r="V454" s="598"/>
    </row>
    <row r="455" spans="1:22" s="604" customFormat="1" ht="242.25" x14ac:dyDescent="0.45">
      <c r="A455" s="598" t="s">
        <v>595</v>
      </c>
      <c r="B455" s="598" t="s">
        <v>396</v>
      </c>
      <c r="C455" s="598" t="s">
        <v>952</v>
      </c>
      <c r="D455" s="598" t="s">
        <v>702</v>
      </c>
      <c r="E455" s="599">
        <f>DGNBvægtning!G202</f>
        <v>3.4615384615384617E-2</v>
      </c>
      <c r="F455" s="600">
        <f>$F$377*G455</f>
        <v>12.04819277108434</v>
      </c>
      <c r="G455" s="599">
        <f>E455/$E$377</f>
        <v>0.2409638554216868</v>
      </c>
      <c r="H455" s="600">
        <v>11</v>
      </c>
      <c r="I455" s="601" t="s">
        <v>492</v>
      </c>
      <c r="J455" s="601"/>
      <c r="K455" s="598" t="s">
        <v>1044</v>
      </c>
      <c r="L455" s="598"/>
      <c r="M455" s="602"/>
      <c r="N455" s="603">
        <f>IF('Sortering af spørgsmål'!$C$33=Projektforudsætninger!$C$20,'Dialogpart 1'!$J$134,IF('Sortering af spørgsmål'!$C$33=Projektforudsætninger!$C$21,'Dialogpart 2'!$J$133,IF('Sortering af spørgsmål'!$C$33=Projektforudsætninger!$C$22,'Dialogpart 3'!$J$133,IF('Sortering af spørgsmål'!$C$33=Projektforudsætninger!$C$23,'Dialogpart 4'!$J$133,IF('Sortering af spørgsmål'!$C$33=Projektforudsætninger!$C$24,'Dialogpart 5'!$J$133,IF('Sortering af spørgsmål'!$C$33=Projektforudsætninger!$C$25,'Dialogpart 6'!$J$133,IF('Sortering af spørgsmål'!$C$33=Projektforudsætninger!$C$22,'Dialogpart 7'!$J$133,IF('Sortering af spørgsmål'!$C$33=Projektforudsætninger!$C$23,#REF!,IF('Sortering af spørgsmål'!$C$33=Projektforudsætninger!$C$24,#REF!,IF('Sortering af spørgsmål'!$C$33=Projektforudsætninger!$C$25,#REF!,0))))))))))</f>
        <v>0</v>
      </c>
      <c r="O455" s="603"/>
      <c r="P455" s="603"/>
      <c r="Q455" s="598"/>
      <c r="R455" s="599">
        <f>'Sortering af spørgsmål'!$E$33*(Arbejdsark!E455/SUM(E455))</f>
        <v>0.05</v>
      </c>
      <c r="S455" s="599">
        <f>R455/$R$461</f>
        <v>0.14285714285714277</v>
      </c>
      <c r="T455" s="600">
        <f>$T$461*S455</f>
        <v>4.2857142857142829</v>
      </c>
      <c r="U455" s="598"/>
      <c r="V455" s="598"/>
    </row>
    <row r="456" spans="1:22" s="604" customFormat="1" ht="327.75" x14ac:dyDescent="0.45">
      <c r="A456" s="598"/>
      <c r="B456" s="598"/>
      <c r="C456" s="598"/>
      <c r="D456" s="744"/>
      <c r="E456" s="599"/>
      <c r="F456" s="599"/>
      <c r="G456" s="599"/>
      <c r="H456" s="599"/>
      <c r="I456" s="601"/>
      <c r="J456" s="601"/>
      <c r="K456" s="598" t="s">
        <v>1043</v>
      </c>
      <c r="L456" s="598" t="s">
        <v>498</v>
      </c>
      <c r="M456" s="602">
        <v>1</v>
      </c>
      <c r="N456" s="602"/>
      <c r="O456" s="600">
        <f>ROUND(H455*M456,0)</f>
        <v>11</v>
      </c>
      <c r="P456" s="600">
        <f>O456-O456</f>
        <v>0</v>
      </c>
      <c r="Q456" s="598"/>
      <c r="R456" s="598"/>
      <c r="S456" s="598"/>
      <c r="T456" s="600"/>
      <c r="U456" s="600">
        <f>ROUND(T455*M456,0)</f>
        <v>4</v>
      </c>
      <c r="V456" s="598"/>
    </row>
    <row r="457" spans="1:22" s="604" customFormat="1" x14ac:dyDescent="0.45">
      <c r="A457" s="598"/>
      <c r="B457" s="598"/>
      <c r="C457" s="598"/>
      <c r="D457" s="598"/>
      <c r="E457" s="599"/>
      <c r="F457" s="599"/>
      <c r="G457" s="599"/>
      <c r="H457" s="599"/>
      <c r="I457" s="601"/>
      <c r="J457" s="601"/>
      <c r="K457" s="598"/>
      <c r="L457" s="598" t="s">
        <v>499</v>
      </c>
      <c r="M457" s="602">
        <v>0.75</v>
      </c>
      <c r="N457" s="602"/>
      <c r="O457" s="600">
        <f>ROUND(H455*M457,0)</f>
        <v>8</v>
      </c>
      <c r="P457" s="600">
        <f>O456-O457</f>
        <v>3</v>
      </c>
      <c r="Q457" s="598"/>
      <c r="R457" s="598"/>
      <c r="S457" s="598"/>
      <c r="T457" s="600"/>
      <c r="U457" s="600">
        <f>ROUND(T455*M457,0)</f>
        <v>3</v>
      </c>
      <c r="V457" s="598"/>
    </row>
    <row r="458" spans="1:22" s="604" customFormat="1" x14ac:dyDescent="0.45">
      <c r="A458" s="598"/>
      <c r="B458" s="598"/>
      <c r="C458" s="598"/>
      <c r="D458" s="598"/>
      <c r="E458" s="599"/>
      <c r="F458" s="599"/>
      <c r="G458" s="599"/>
      <c r="H458" s="599"/>
      <c r="I458" s="601"/>
      <c r="J458" s="601"/>
      <c r="K458" s="598"/>
      <c r="L458" s="598" t="s">
        <v>495</v>
      </c>
      <c r="M458" s="602">
        <v>0.5</v>
      </c>
      <c r="N458" s="602"/>
      <c r="O458" s="600">
        <f>ROUNDDOWN(H455*M458,0)</f>
        <v>5</v>
      </c>
      <c r="P458" s="600">
        <f>O456-O458</f>
        <v>6</v>
      </c>
      <c r="Q458" s="598"/>
      <c r="R458" s="598"/>
      <c r="S458" s="598"/>
      <c r="T458" s="600"/>
      <c r="U458" s="600">
        <f>ROUND(T455*M458,0)</f>
        <v>2</v>
      </c>
      <c r="V458" s="598"/>
    </row>
    <row r="459" spans="1:22" s="604" customFormat="1" x14ac:dyDescent="0.45">
      <c r="A459" s="598"/>
      <c r="B459" s="598"/>
      <c r="C459" s="598"/>
      <c r="D459" s="598"/>
      <c r="E459" s="599"/>
      <c r="F459" s="599"/>
      <c r="G459" s="599"/>
      <c r="H459" s="599"/>
      <c r="I459" s="601"/>
      <c r="J459" s="601"/>
      <c r="K459" s="598"/>
      <c r="L459" s="598"/>
      <c r="M459" s="602"/>
      <c r="N459" s="602"/>
      <c r="O459" s="602"/>
      <c r="P459" s="602"/>
      <c r="Q459" s="598"/>
      <c r="R459" s="598"/>
      <c r="S459" s="598"/>
      <c r="T459" s="600"/>
      <c r="U459" s="598"/>
      <c r="V459" s="598"/>
    </row>
    <row r="460" spans="1:22" x14ac:dyDescent="0.45">
      <c r="A460" s="729" t="s">
        <v>572</v>
      </c>
      <c r="B460" s="209"/>
      <c r="C460" s="649"/>
      <c r="D460" s="713"/>
      <c r="E460" s="213"/>
      <c r="F460" s="215"/>
      <c r="G460" s="213"/>
      <c r="H460" s="216"/>
      <c r="I460" s="709"/>
      <c r="J460" s="709"/>
      <c r="K460" s="649"/>
      <c r="L460" s="649"/>
      <c r="M460" s="724"/>
      <c r="N460" s="724"/>
      <c r="O460" s="725"/>
      <c r="P460" s="726"/>
    </row>
    <row r="461" spans="1:22" hidden="1" x14ac:dyDescent="0.45">
      <c r="A461" s="708"/>
      <c r="B461" s="209"/>
      <c r="C461" s="649"/>
      <c r="D461" s="713"/>
      <c r="E461" s="213">
        <f>SUM(E462:E575)-E569</f>
        <v>0.11678743961352653</v>
      </c>
      <c r="F461" s="215">
        <v>20</v>
      </c>
      <c r="G461" s="213"/>
      <c r="H461" s="216">
        <f>SUM(H462:H575)</f>
        <v>27</v>
      </c>
      <c r="I461" s="709"/>
      <c r="J461" s="709"/>
      <c r="K461" s="209"/>
      <c r="L461" s="209"/>
      <c r="M461" s="716"/>
      <c r="N461" s="716"/>
      <c r="O461" s="717"/>
      <c r="P461" s="718"/>
      <c r="R461" s="711">
        <f>SUM(R462:R577)</f>
        <v>0.35000000000000026</v>
      </c>
      <c r="T461" s="712">
        <v>30</v>
      </c>
      <c r="U461" s="209"/>
    </row>
    <row r="462" spans="1:22" s="604" customFormat="1" ht="313.5" x14ac:dyDescent="0.45">
      <c r="A462" s="598" t="s">
        <v>573</v>
      </c>
      <c r="B462" s="598" t="s">
        <v>253</v>
      </c>
      <c r="C462" s="598" t="s">
        <v>574</v>
      </c>
      <c r="D462" s="598" t="s">
        <v>708</v>
      </c>
      <c r="E462" s="599">
        <f>DGNBvægtning!I4+DGNBvægtning!I5</f>
        <v>1.1666666666666665E-2</v>
      </c>
      <c r="F462" s="600">
        <f>$F$461*G462</f>
        <v>1.9979317476732166</v>
      </c>
      <c r="G462" s="599">
        <f>E462/$E$461</f>
        <v>9.9896587383660834E-2</v>
      </c>
      <c r="H462" s="600">
        <v>2</v>
      </c>
      <c r="I462" s="601" t="s">
        <v>492</v>
      </c>
      <c r="J462" s="601"/>
      <c r="K462" s="598" t="s">
        <v>1045</v>
      </c>
      <c r="L462" s="598"/>
      <c r="M462" s="602"/>
      <c r="N462" s="603">
        <f>IF('Sortering af spørgsmål'!$C$26=Projektforudsætninger!$C$20,'Dialogpart 1'!$J$139,IF('Sortering af spørgsmål'!$C$26=Projektforudsætninger!$C$21,'Dialogpart 2'!$J$138,IF('Sortering af spørgsmål'!$C$26=Projektforudsætninger!$C$22,'Dialogpart 3'!$J$138,IF('Sortering af spørgsmål'!$C$26=Projektforudsætninger!$C$23,'Dialogpart 4'!$J$138,IF('Sortering af spørgsmål'!$C$26=Projektforudsætninger!$C$24,'Dialogpart 5'!$J$138,IF('Sortering af spørgsmål'!$C$26=Projektforudsætninger!$C$25,'Dialogpart 6'!$J$138,IF('Sortering af spørgsmål'!$C$26=Projektforudsætninger!$C$22,'Dialogpart 7'!$J$138,IF('Sortering af spørgsmål'!$C$26=Projektforudsætninger!$C$23,#REF!,IF('Sortering af spørgsmål'!$C$26=Projektforudsætninger!$C$24,#REF!,IF('Sortering af spørgsmål'!$C$26=Projektforudsætninger!$C$25,#REF!,0))))))))))</f>
        <v>0</v>
      </c>
      <c r="O462" s="603"/>
      <c r="P462" s="603"/>
      <c r="Q462" s="598"/>
      <c r="R462" s="599">
        <f>'Sortering af spørgsmål'!$E$26*(Arbejdsark!E462/SUM(E462))</f>
        <v>0.05</v>
      </c>
      <c r="S462" s="599">
        <f>R462/$R$461</f>
        <v>0.14285714285714277</v>
      </c>
      <c r="T462" s="600">
        <f>$T$461*S462</f>
        <v>4.2857142857142829</v>
      </c>
      <c r="U462" s="598"/>
      <c r="V462" s="598"/>
    </row>
    <row r="463" spans="1:22" s="604" customFormat="1" x14ac:dyDescent="0.45">
      <c r="A463" s="598"/>
      <c r="B463" s="598"/>
      <c r="C463" s="598"/>
      <c r="D463" s="598"/>
      <c r="E463" s="599"/>
      <c r="F463" s="603"/>
      <c r="G463" s="599"/>
      <c r="H463" s="600"/>
      <c r="I463" s="601"/>
      <c r="J463" s="601"/>
      <c r="K463" s="598"/>
      <c r="L463" s="598" t="s">
        <v>498</v>
      </c>
      <c r="M463" s="602">
        <v>1</v>
      </c>
      <c r="N463" s="602"/>
      <c r="O463" s="600">
        <f>ROUND(H462*M463,0)</f>
        <v>2</v>
      </c>
      <c r="P463" s="600">
        <f>O463-O463</f>
        <v>0</v>
      </c>
      <c r="Q463" s="598"/>
      <c r="R463" s="598"/>
      <c r="S463" s="598"/>
      <c r="T463" s="600"/>
      <c r="U463" s="600">
        <f>ROUND(T462*M463,0)</f>
        <v>4</v>
      </c>
      <c r="V463" s="598"/>
    </row>
    <row r="464" spans="1:22" s="604" customFormat="1" x14ac:dyDescent="0.45">
      <c r="A464" s="598"/>
      <c r="B464" s="598"/>
      <c r="C464" s="598"/>
      <c r="D464" s="598"/>
      <c r="E464" s="599"/>
      <c r="F464" s="603"/>
      <c r="G464" s="599"/>
      <c r="H464" s="600"/>
      <c r="I464" s="601"/>
      <c r="J464" s="601"/>
      <c r="K464" s="598"/>
      <c r="L464" s="598" t="s">
        <v>499</v>
      </c>
      <c r="M464" s="602">
        <f>20/35</f>
        <v>0.5714285714285714</v>
      </c>
      <c r="N464" s="602"/>
      <c r="O464" s="600">
        <f>ROUND(H462*M464,0)</f>
        <v>1</v>
      </c>
      <c r="P464" s="600">
        <f>O463-O464</f>
        <v>1</v>
      </c>
      <c r="Q464" s="598"/>
      <c r="R464" s="598"/>
      <c r="S464" s="598"/>
      <c r="T464" s="600"/>
      <c r="U464" s="600">
        <f>ROUND(T462*M464,0)</f>
        <v>2</v>
      </c>
      <c r="V464" s="598"/>
    </row>
    <row r="465" spans="1:22" s="604" customFormat="1" x14ac:dyDescent="0.45">
      <c r="A465" s="598"/>
      <c r="B465" s="598"/>
      <c r="C465" s="598"/>
      <c r="D465" s="598"/>
      <c r="E465" s="599"/>
      <c r="F465" s="603"/>
      <c r="G465" s="599"/>
      <c r="H465" s="600"/>
      <c r="I465" s="601"/>
      <c r="J465" s="601"/>
      <c r="K465" s="598"/>
      <c r="L465" s="598" t="s">
        <v>495</v>
      </c>
      <c r="M465" s="602">
        <v>0</v>
      </c>
      <c r="N465" s="602"/>
      <c r="O465" s="600">
        <f>ROUND(H462*M465,0)</f>
        <v>0</v>
      </c>
      <c r="P465" s="600">
        <f>O463-O465</f>
        <v>2</v>
      </c>
      <c r="Q465" s="598"/>
      <c r="R465" s="598"/>
      <c r="S465" s="598"/>
      <c r="T465" s="600"/>
      <c r="U465" s="600">
        <f>ROUND(T462*M465,0)</f>
        <v>0</v>
      </c>
      <c r="V465" s="598"/>
    </row>
    <row r="466" spans="1:22" s="604" customFormat="1" x14ac:dyDescent="0.45">
      <c r="A466" s="598"/>
      <c r="B466" s="598"/>
      <c r="C466" s="598"/>
      <c r="D466" s="598"/>
      <c r="E466" s="599"/>
      <c r="F466" s="603"/>
      <c r="G466" s="599"/>
      <c r="H466" s="600"/>
      <c r="I466" s="601"/>
      <c r="J466" s="601"/>
      <c r="K466" s="747"/>
      <c r="L466" s="598"/>
      <c r="M466" s="602"/>
      <c r="N466" s="602"/>
      <c r="O466" s="602"/>
      <c r="P466" s="602"/>
      <c r="Q466" s="598"/>
      <c r="R466" s="598"/>
      <c r="S466" s="598"/>
      <c r="T466" s="600"/>
      <c r="U466" s="598"/>
      <c r="V466" s="598"/>
    </row>
    <row r="467" spans="1:22" s="604" customFormat="1" ht="228" x14ac:dyDescent="0.45">
      <c r="A467" s="598" t="s">
        <v>575</v>
      </c>
      <c r="B467" s="598" t="s">
        <v>283</v>
      </c>
      <c r="C467" s="598" t="s">
        <v>576</v>
      </c>
      <c r="D467" s="598" t="s">
        <v>917</v>
      </c>
      <c r="E467" s="599">
        <f>DGNBvægtning!I6</f>
        <v>5.0000000000000001E-3</v>
      </c>
      <c r="F467" s="600">
        <f>$F$461*G467</f>
        <v>0.85625646328852156</v>
      </c>
      <c r="G467" s="599">
        <f>E467/$E$461</f>
        <v>4.2812823164426077E-2</v>
      </c>
      <c r="H467" s="600">
        <v>1</v>
      </c>
      <c r="I467" s="601" t="s">
        <v>492</v>
      </c>
      <c r="J467" s="601"/>
      <c r="K467" s="598" t="s">
        <v>1046</v>
      </c>
      <c r="L467" s="598"/>
      <c r="M467" s="602"/>
      <c r="N467" s="603">
        <f>IF('Sortering af spørgsmål'!$C$27=Projektforudsætninger!$C$20,'Dialogpart 1'!$J$142,IF('Sortering af spørgsmål'!$C$27=Projektforudsætninger!$C$21,'Dialogpart 2'!$J$141,IF('Sortering af spørgsmål'!$C$27=Projektforudsætninger!$C$22,'Dialogpart 3'!$J$141,IF('Sortering af spørgsmål'!$C$27=Projektforudsætninger!$C$23,'Dialogpart 4'!$J$141,IF('Sortering af spørgsmål'!$C$27=Projektforudsætninger!$C$24,'Dialogpart 5'!$J$141,IF('Sortering af spørgsmål'!$C$27=Projektforudsætninger!$C$25,'Dialogpart 6'!$J$141,IF('Sortering af spørgsmål'!$C$27=Projektforudsætninger!$C$22,'Dialogpart 7'!$J$141,IF('Sortering af spørgsmål'!$C$27=Projektforudsætninger!$C$23,#REF!,IF('Sortering af spørgsmål'!$C$27=Projektforudsætninger!$C$24,#REF!,IF('Sortering af spørgsmål'!$C$27=Projektforudsætninger!$C$25,#REF!,0))))))))))</f>
        <v>0</v>
      </c>
      <c r="O467" s="603"/>
      <c r="P467" s="603"/>
      <c r="Q467" s="598"/>
      <c r="R467" s="599">
        <f>'Sortering af spørgsmål'!$E$27*(Arbejdsark!E467/SUM($E$467:$E$487))</f>
        <v>1.1538461538461539E-2</v>
      </c>
      <c r="S467" s="599">
        <f>R467/$R$461</f>
        <v>3.2967032967032947E-2</v>
      </c>
      <c r="T467" s="600">
        <f>$T$461*S467</f>
        <v>0.98901098901098838</v>
      </c>
      <c r="U467" s="598"/>
      <c r="V467" s="598"/>
    </row>
    <row r="468" spans="1:22" s="604" customFormat="1" x14ac:dyDescent="0.45">
      <c r="A468" s="598"/>
      <c r="B468" s="598"/>
      <c r="C468" s="598"/>
      <c r="D468" s="744"/>
      <c r="E468" s="599"/>
      <c r="F468" s="603"/>
      <c r="G468" s="599"/>
      <c r="H468" s="600"/>
      <c r="I468" s="601"/>
      <c r="J468" s="601"/>
      <c r="K468" s="598"/>
      <c r="L468" s="598" t="s">
        <v>498</v>
      </c>
      <c r="M468" s="602">
        <v>1</v>
      </c>
      <c r="N468" s="602"/>
      <c r="O468" s="600">
        <f>ROUND(H467*M468,0)</f>
        <v>1</v>
      </c>
      <c r="P468" s="600">
        <f>O468-O468</f>
        <v>0</v>
      </c>
      <c r="Q468" s="598"/>
      <c r="R468" s="598"/>
      <c r="S468" s="598"/>
      <c r="T468" s="600"/>
      <c r="U468" s="600">
        <f>ROUND(T467*M468,0)</f>
        <v>1</v>
      </c>
      <c r="V468" s="598"/>
    </row>
    <row r="469" spans="1:22" s="604" customFormat="1" x14ac:dyDescent="0.45">
      <c r="A469" s="598"/>
      <c r="B469" s="598"/>
      <c r="C469" s="598"/>
      <c r="D469" s="598"/>
      <c r="E469" s="599"/>
      <c r="F469" s="603"/>
      <c r="G469" s="599"/>
      <c r="H469" s="600"/>
      <c r="I469" s="601"/>
      <c r="J469" s="601"/>
      <c r="K469" s="598"/>
      <c r="L469" s="598" t="s">
        <v>499</v>
      </c>
      <c r="M469" s="602">
        <f>20/30</f>
        <v>0.66666666666666663</v>
      </c>
      <c r="N469" s="602"/>
      <c r="O469" s="600">
        <f>ROUND(H467*M469,0)</f>
        <v>1</v>
      </c>
      <c r="P469" s="600">
        <f>O468-O469</f>
        <v>0</v>
      </c>
      <c r="Q469" s="598"/>
      <c r="R469" s="598"/>
      <c r="S469" s="598"/>
      <c r="T469" s="600"/>
      <c r="U469" s="600">
        <f>ROUND(T467*M469,0)</f>
        <v>1</v>
      </c>
      <c r="V469" s="598"/>
    </row>
    <row r="470" spans="1:22" s="604" customFormat="1" x14ac:dyDescent="0.45">
      <c r="A470" s="598"/>
      <c r="B470" s="598"/>
      <c r="C470" s="598"/>
      <c r="D470" s="598"/>
      <c r="E470" s="599"/>
      <c r="F470" s="603"/>
      <c r="G470" s="599"/>
      <c r="H470" s="600"/>
      <c r="I470" s="601"/>
      <c r="J470" s="601"/>
      <c r="K470" s="598"/>
      <c r="L470" s="598" t="s">
        <v>495</v>
      </c>
      <c r="M470" s="602">
        <v>0</v>
      </c>
      <c r="N470" s="602"/>
      <c r="O470" s="600">
        <f>ROUND(H467*M470,0)</f>
        <v>0</v>
      </c>
      <c r="P470" s="600">
        <f>O468-O470</f>
        <v>1</v>
      </c>
      <c r="Q470" s="598"/>
      <c r="R470" s="598"/>
      <c r="S470" s="598"/>
      <c r="T470" s="600"/>
      <c r="U470" s="600">
        <f>ROUND(T467*M470,0)</f>
        <v>0</v>
      </c>
      <c r="V470" s="598"/>
    </row>
    <row r="471" spans="1:22" s="604" customFormat="1" x14ac:dyDescent="0.45">
      <c r="A471" s="598"/>
      <c r="B471" s="598"/>
      <c r="C471" s="598"/>
      <c r="D471" s="598"/>
      <c r="E471" s="599"/>
      <c r="F471" s="603"/>
      <c r="G471" s="599"/>
      <c r="H471" s="600"/>
      <c r="I471" s="601"/>
      <c r="J471" s="601"/>
      <c r="K471" s="598"/>
      <c r="L471" s="598"/>
      <c r="M471" s="602"/>
      <c r="N471" s="602"/>
      <c r="O471" s="602"/>
      <c r="P471" s="602"/>
      <c r="Q471" s="598"/>
      <c r="R471" s="598"/>
      <c r="S471" s="598"/>
      <c r="T471" s="600"/>
      <c r="U471" s="598"/>
      <c r="V471" s="598"/>
    </row>
    <row r="472" spans="1:22" s="604" customFormat="1" ht="313.5" x14ac:dyDescent="0.45">
      <c r="A472" s="598"/>
      <c r="B472" s="598" t="s">
        <v>268</v>
      </c>
      <c r="C472" s="598" t="s">
        <v>577</v>
      </c>
      <c r="D472" s="598" t="s">
        <v>709</v>
      </c>
      <c r="E472" s="599">
        <f>DGNBvægtning!I8</f>
        <v>5.0000000000000001E-3</v>
      </c>
      <c r="F472" s="600">
        <f>$F$461*G472</f>
        <v>0.85625646328852156</v>
      </c>
      <c r="G472" s="599">
        <f>E472/$E$461</f>
        <v>4.2812823164426077E-2</v>
      </c>
      <c r="H472" s="600">
        <v>1</v>
      </c>
      <c r="I472" s="601" t="s">
        <v>492</v>
      </c>
      <c r="J472" s="601"/>
      <c r="K472" s="598" t="s">
        <v>1048</v>
      </c>
      <c r="L472" s="598"/>
      <c r="M472" s="602"/>
      <c r="N472" s="603">
        <f>IF('Sortering af spørgsmål'!$C$27=Projektforudsætninger!$C$20,'Dialogpart 1'!$J$143,IF('Sortering af spørgsmål'!$C$27=Projektforudsætninger!$C$21,'Dialogpart 2'!$J$142,IF('Sortering af spørgsmål'!$C$27=Projektforudsætninger!$C$22,'Dialogpart 3'!$J$142,IF('Sortering af spørgsmål'!$C$27=Projektforudsætninger!$C$23,'Dialogpart 4'!$J$142,IF('Sortering af spørgsmål'!$C$27=Projektforudsætninger!$C$24,'Dialogpart 5'!$J$142,IF('Sortering af spørgsmål'!$C$27=Projektforudsætninger!$C$25,'Dialogpart 6'!$J$142,IF('Sortering af spørgsmål'!$C$27=Projektforudsætninger!$C$22,'Dialogpart 7'!$J$142,IF('Sortering af spørgsmål'!$C$27=Projektforudsætninger!$C$23,#REF!,IF('Sortering af spørgsmål'!$C$27=Projektforudsætninger!$C$24,#REF!,IF('Sortering af spørgsmål'!$C$27=Projektforudsætninger!$C$25,#REF!,0))))))))))</f>
        <v>0</v>
      </c>
      <c r="O472" s="603"/>
      <c r="P472" s="603"/>
      <c r="Q472" s="598"/>
      <c r="R472" s="599">
        <f>'Sortering af spørgsmål'!$E$27*(Arbejdsark!E472/SUM($E$467:$E$487))</f>
        <v>1.1538461538461539E-2</v>
      </c>
      <c r="S472" s="599">
        <f>R472/$R$461</f>
        <v>3.2967032967032947E-2</v>
      </c>
      <c r="T472" s="600">
        <f>$T$461*S472</f>
        <v>0.98901098901098838</v>
      </c>
      <c r="U472" s="598"/>
      <c r="V472" s="598"/>
    </row>
    <row r="473" spans="1:22" s="604" customFormat="1" x14ac:dyDescent="0.45">
      <c r="A473" s="598"/>
      <c r="B473" s="598"/>
      <c r="C473" s="598"/>
      <c r="D473" s="598"/>
      <c r="E473" s="599"/>
      <c r="F473" s="603"/>
      <c r="G473" s="599"/>
      <c r="H473" s="600"/>
      <c r="I473" s="601"/>
      <c r="J473" s="601"/>
      <c r="K473" s="598"/>
      <c r="L473" s="598" t="s">
        <v>498</v>
      </c>
      <c r="M473" s="602">
        <v>1</v>
      </c>
      <c r="N473" s="602"/>
      <c r="O473" s="600">
        <f>ROUND(H472*M473,0)</f>
        <v>1</v>
      </c>
      <c r="P473" s="600">
        <f>O473-O473</f>
        <v>0</v>
      </c>
      <c r="Q473" s="598"/>
      <c r="R473" s="598"/>
      <c r="S473" s="598"/>
      <c r="T473" s="600"/>
      <c r="U473" s="600">
        <f>ROUND(T472*M473,0)</f>
        <v>1</v>
      </c>
      <c r="V473" s="598"/>
    </row>
    <row r="474" spans="1:22" s="604" customFormat="1" x14ac:dyDescent="0.45">
      <c r="A474" s="598"/>
      <c r="B474" s="598"/>
      <c r="C474" s="598"/>
      <c r="D474" s="598"/>
      <c r="E474" s="599"/>
      <c r="F474" s="603"/>
      <c r="G474" s="599"/>
      <c r="H474" s="600"/>
      <c r="I474" s="601"/>
      <c r="J474" s="601"/>
      <c r="K474" s="598"/>
      <c r="L474" s="598" t="s">
        <v>499</v>
      </c>
      <c r="M474" s="602">
        <f>20/30</f>
        <v>0.66666666666666663</v>
      </c>
      <c r="N474" s="602"/>
      <c r="O474" s="600">
        <f>ROUND(H472*M474,0)</f>
        <v>1</v>
      </c>
      <c r="P474" s="600">
        <f>O473-O474</f>
        <v>0</v>
      </c>
      <c r="Q474" s="598"/>
      <c r="R474" s="598"/>
      <c r="S474" s="598"/>
      <c r="T474" s="600"/>
      <c r="U474" s="600">
        <f>ROUND(T472*M474,0)</f>
        <v>1</v>
      </c>
      <c r="V474" s="598"/>
    </row>
    <row r="475" spans="1:22" s="604" customFormat="1" x14ac:dyDescent="0.45">
      <c r="A475" s="598"/>
      <c r="B475" s="598"/>
      <c r="C475" s="598"/>
      <c r="D475" s="598"/>
      <c r="E475" s="599"/>
      <c r="F475" s="603"/>
      <c r="G475" s="599"/>
      <c r="H475" s="600"/>
      <c r="I475" s="601"/>
      <c r="J475" s="601"/>
      <c r="K475" s="598"/>
      <c r="L475" s="598" t="s">
        <v>495</v>
      </c>
      <c r="M475" s="602">
        <v>0</v>
      </c>
      <c r="N475" s="602"/>
      <c r="O475" s="600">
        <f>ROUND(H472*M475,0)</f>
        <v>0</v>
      </c>
      <c r="P475" s="600">
        <f>O473-O475</f>
        <v>1</v>
      </c>
      <c r="Q475" s="598"/>
      <c r="R475" s="598"/>
      <c r="S475" s="598"/>
      <c r="T475" s="600"/>
      <c r="U475" s="600">
        <f>ROUND(T472*M475,0)</f>
        <v>0</v>
      </c>
      <c r="V475" s="598"/>
    </row>
    <row r="476" spans="1:22" s="604" customFormat="1" ht="42.75" x14ac:dyDescent="0.45">
      <c r="A476" s="598"/>
      <c r="B476" s="598"/>
      <c r="C476" s="598"/>
      <c r="D476" s="598"/>
      <c r="E476" s="599"/>
      <c r="F476" s="603"/>
      <c r="G476" s="599"/>
      <c r="H476" s="600"/>
      <c r="I476" s="601"/>
      <c r="J476" s="601"/>
      <c r="K476" s="744"/>
      <c r="L476" s="598" t="s">
        <v>1047</v>
      </c>
      <c r="M476" s="602"/>
      <c r="N476" s="602"/>
      <c r="O476" s="602"/>
      <c r="P476" s="602"/>
      <c r="Q476" s="598"/>
      <c r="R476" s="598"/>
      <c r="S476" s="598"/>
      <c r="T476" s="600"/>
      <c r="U476" s="598"/>
      <c r="V476" s="598"/>
    </row>
    <row r="477" spans="1:22" s="604" customFormat="1" ht="242.25" x14ac:dyDescent="0.45">
      <c r="A477" s="598"/>
      <c r="B477" s="598" t="s">
        <v>285</v>
      </c>
      <c r="C477" s="598" t="s">
        <v>578</v>
      </c>
      <c r="D477" s="598" t="s">
        <v>710</v>
      </c>
      <c r="E477" s="599">
        <f>DGNBvægtning!I9</f>
        <v>5.0000000000000001E-3</v>
      </c>
      <c r="F477" s="600">
        <f>$F$461*G477</f>
        <v>0.85625646328852156</v>
      </c>
      <c r="G477" s="599">
        <f>E477/$E$461</f>
        <v>4.2812823164426077E-2</v>
      </c>
      <c r="H477" s="600">
        <v>1</v>
      </c>
      <c r="I477" s="601" t="s">
        <v>492</v>
      </c>
      <c r="J477" s="601"/>
      <c r="K477" s="598" t="s">
        <v>1049</v>
      </c>
      <c r="L477" s="598"/>
      <c r="M477" s="602"/>
      <c r="N477" s="603">
        <f>IF('Sortering af spørgsmål'!$C$27=Projektforudsætninger!$C$20,'Dialogpart 1'!$J$144,IF('Sortering af spørgsmål'!$C$27=Projektforudsætninger!$C$21,'Dialogpart 2'!$J$143,IF('Sortering af spørgsmål'!$C$27=Projektforudsætninger!$C$22,'Dialogpart 3'!$J$143,IF('Sortering af spørgsmål'!$C$27=Projektforudsætninger!$C$23,'Dialogpart 4'!$J$143,IF('Sortering af spørgsmål'!$C$27=Projektforudsætninger!$C$24,'Dialogpart 5'!$J$143,IF('Sortering af spørgsmål'!$C$27=Projektforudsætninger!$C$25,'Dialogpart 6'!$J$143,IF('Sortering af spørgsmål'!$C$27=Projektforudsætninger!$C$22,'Dialogpart 7'!$J$143,IF('Sortering af spørgsmål'!$C$27=Projektforudsætninger!$C$23,#REF!,IF('Sortering af spørgsmål'!$C$27=Projektforudsætninger!$C$24,#REF!,IF('Sortering af spørgsmål'!$C$27=Projektforudsætninger!$C$25,#REF!,0))))))))))</f>
        <v>0</v>
      </c>
      <c r="O477" s="603"/>
      <c r="P477" s="603"/>
      <c r="Q477" s="598"/>
      <c r="R477" s="599">
        <f>'Sortering af spørgsmål'!$E$27*(Arbejdsark!E477/SUM($E$467:$E$487))</f>
        <v>1.1538461538461539E-2</v>
      </c>
      <c r="S477" s="599">
        <f>R477/$R$461</f>
        <v>3.2967032967032947E-2</v>
      </c>
      <c r="T477" s="600">
        <f>$T$461*S477</f>
        <v>0.98901098901098838</v>
      </c>
      <c r="U477" s="598"/>
      <c r="V477" s="598"/>
    </row>
    <row r="478" spans="1:22" s="604" customFormat="1" x14ac:dyDescent="0.45">
      <c r="A478" s="598"/>
      <c r="B478" s="598"/>
      <c r="C478" s="598"/>
      <c r="D478" s="598"/>
      <c r="E478" s="599"/>
      <c r="F478" s="603"/>
      <c r="G478" s="599"/>
      <c r="H478" s="600"/>
      <c r="I478" s="601"/>
      <c r="J478" s="601"/>
      <c r="K478" s="598"/>
      <c r="L478" s="598" t="s">
        <v>498</v>
      </c>
      <c r="M478" s="602">
        <v>1</v>
      </c>
      <c r="N478" s="602"/>
      <c r="O478" s="600">
        <f>ROUND(H477*M478,0)</f>
        <v>1</v>
      </c>
      <c r="P478" s="600">
        <f>O478-O478</f>
        <v>0</v>
      </c>
      <c r="Q478" s="598"/>
      <c r="R478" s="598"/>
      <c r="S478" s="598"/>
      <c r="T478" s="600"/>
      <c r="U478" s="600">
        <f>ROUND(T477*M478,0)</f>
        <v>1</v>
      </c>
      <c r="V478" s="598"/>
    </row>
    <row r="479" spans="1:22" s="604" customFormat="1" x14ac:dyDescent="0.45">
      <c r="A479" s="598"/>
      <c r="B479" s="598"/>
      <c r="C479" s="598"/>
      <c r="D479" s="598"/>
      <c r="E479" s="599"/>
      <c r="F479" s="603"/>
      <c r="G479" s="599"/>
      <c r="H479" s="600"/>
      <c r="I479" s="601"/>
      <c r="J479" s="601"/>
      <c r="K479" s="598"/>
      <c r="L479" s="598" t="s">
        <v>499</v>
      </c>
      <c r="M479" s="602">
        <f>20/30</f>
        <v>0.66666666666666663</v>
      </c>
      <c r="N479" s="602"/>
      <c r="O479" s="600">
        <f>ROUND(H477*M479,0)</f>
        <v>1</v>
      </c>
      <c r="P479" s="600">
        <f>O478-O479</f>
        <v>0</v>
      </c>
      <c r="Q479" s="598"/>
      <c r="R479" s="598"/>
      <c r="S479" s="598"/>
      <c r="T479" s="600"/>
      <c r="U479" s="600">
        <f>ROUND(T477*M479,0)</f>
        <v>1</v>
      </c>
      <c r="V479" s="598"/>
    </row>
    <row r="480" spans="1:22" s="604" customFormat="1" x14ac:dyDescent="0.45">
      <c r="A480" s="598"/>
      <c r="B480" s="598"/>
      <c r="C480" s="598"/>
      <c r="D480" s="598"/>
      <c r="E480" s="599"/>
      <c r="F480" s="603"/>
      <c r="G480" s="599"/>
      <c r="H480" s="600"/>
      <c r="I480" s="601"/>
      <c r="J480" s="601"/>
      <c r="K480" s="598"/>
      <c r="L480" s="598" t="s">
        <v>495</v>
      </c>
      <c r="M480" s="602">
        <v>0.1</v>
      </c>
      <c r="N480" s="602"/>
      <c r="O480" s="600">
        <f>ROUND(H477*M480,0)</f>
        <v>0</v>
      </c>
      <c r="P480" s="600">
        <f>O478-O480</f>
        <v>1</v>
      </c>
      <c r="Q480" s="598"/>
      <c r="R480" s="598"/>
      <c r="S480" s="598"/>
      <c r="T480" s="600"/>
      <c r="U480" s="600">
        <f>ROUND(T477*M480,0)</f>
        <v>0</v>
      </c>
      <c r="V480" s="598"/>
    </row>
    <row r="481" spans="1:22" s="604" customFormat="1" x14ac:dyDescent="0.45">
      <c r="A481" s="598"/>
      <c r="B481" s="598"/>
      <c r="C481" s="598"/>
      <c r="D481" s="598"/>
      <c r="E481" s="599"/>
      <c r="F481" s="603"/>
      <c r="G481" s="599"/>
      <c r="H481" s="600"/>
      <c r="I481" s="601"/>
      <c r="J481" s="601"/>
      <c r="K481" s="598"/>
      <c r="L481" s="598"/>
      <c r="M481" s="602"/>
      <c r="N481" s="602"/>
      <c r="O481" s="602"/>
      <c r="P481" s="602"/>
      <c r="Q481" s="598"/>
      <c r="R481" s="598"/>
      <c r="S481" s="598"/>
      <c r="T481" s="600"/>
      <c r="U481" s="598"/>
      <c r="V481" s="598"/>
    </row>
    <row r="482" spans="1:22" s="604" customFormat="1" ht="185.25" x14ac:dyDescent="0.45">
      <c r="A482" s="598"/>
      <c r="B482" s="598" t="s">
        <v>321</v>
      </c>
      <c r="C482" s="598" t="s">
        <v>579</v>
      </c>
      <c r="D482" s="598" t="s">
        <v>711</v>
      </c>
      <c r="E482" s="599">
        <f>DGNBvægtning!I10</f>
        <v>1.6666666666666668E-3</v>
      </c>
      <c r="F482" s="600">
        <f>$F$461*G482</f>
        <v>0.28541882109617384</v>
      </c>
      <c r="G482" s="599">
        <f>E482/$E$461</f>
        <v>1.4270941054808693E-2</v>
      </c>
      <c r="H482" s="600">
        <v>1</v>
      </c>
      <c r="I482" s="601" t="s">
        <v>492</v>
      </c>
      <c r="J482" s="601"/>
      <c r="K482" s="598" t="s">
        <v>1050</v>
      </c>
      <c r="L482" s="598"/>
      <c r="M482" s="602"/>
      <c r="N482" s="603">
        <f>IF('Sortering af spørgsmål'!$C$27=Projektforudsætninger!$C$20,'Dialogpart 1'!$J$145,IF('Sortering af spørgsmål'!$C$27=Projektforudsætninger!$C$21,'Dialogpart 2'!$J$144,IF('Sortering af spørgsmål'!$C$27=Projektforudsætninger!$C$22,'Dialogpart 3'!$J$144,IF('Sortering af spørgsmål'!$C$27=Projektforudsætninger!$C$23,'Dialogpart 4'!$J$144,IF('Sortering af spørgsmål'!$C$27=Projektforudsætninger!$C$24,'Dialogpart 5'!$J$144,IF('Sortering af spørgsmål'!$C$27=Projektforudsætninger!$C$25,'Dialogpart 6'!$J$144,IF('Sortering af spørgsmål'!$C$27=Projektforudsætninger!$C$22,'Dialogpart 7'!$J$144,IF('Sortering af spørgsmål'!$C$27=Projektforudsætninger!$C$23,#REF!,IF('Sortering af spørgsmål'!$C$27=Projektforudsætninger!$C$24,#REF!,IF('Sortering af spørgsmål'!$C$27=Projektforudsætninger!$C$25,#REF!,0))))))))))</f>
        <v>0</v>
      </c>
      <c r="O482" s="603"/>
      <c r="P482" s="603"/>
      <c r="Q482" s="598"/>
      <c r="R482" s="599">
        <f>'Sortering af spørgsmål'!$E$27*(Arbejdsark!E482/SUM($E$467:$E$487))</f>
        <v>3.8461538461538464E-3</v>
      </c>
      <c r="S482" s="599">
        <f>R482/$R$461</f>
        <v>1.0989010989010981E-2</v>
      </c>
      <c r="T482" s="600">
        <f>$T$461*S482</f>
        <v>0.32967032967032944</v>
      </c>
      <c r="U482" s="598"/>
      <c r="V482" s="598"/>
    </row>
    <row r="483" spans="1:22" s="604" customFormat="1" x14ac:dyDescent="0.45">
      <c r="A483" s="598"/>
      <c r="B483" s="598"/>
      <c r="C483" s="598"/>
      <c r="D483" s="598"/>
      <c r="E483" s="599"/>
      <c r="F483" s="603"/>
      <c r="G483" s="599"/>
      <c r="H483" s="600"/>
      <c r="I483" s="601"/>
      <c r="J483" s="601"/>
      <c r="K483" s="598"/>
      <c r="L483" s="598" t="s">
        <v>498</v>
      </c>
      <c r="M483" s="602">
        <v>1</v>
      </c>
      <c r="N483" s="602"/>
      <c r="O483" s="600">
        <f>ROUND(H482*M483,0)</f>
        <v>1</v>
      </c>
      <c r="P483" s="600">
        <f>O483-O483</f>
        <v>0</v>
      </c>
      <c r="Q483" s="598"/>
      <c r="R483" s="598"/>
      <c r="S483" s="598"/>
      <c r="T483" s="600"/>
      <c r="U483" s="600">
        <f>ROUND(T482*M483,0)</f>
        <v>0</v>
      </c>
      <c r="V483" s="598"/>
    </row>
    <row r="484" spans="1:22" s="604" customFormat="1" x14ac:dyDescent="0.45">
      <c r="A484" s="598"/>
      <c r="B484" s="598"/>
      <c r="C484" s="598"/>
      <c r="D484" s="598"/>
      <c r="E484" s="599"/>
      <c r="F484" s="603"/>
      <c r="G484" s="599"/>
      <c r="H484" s="600"/>
      <c r="I484" s="601"/>
      <c r="J484" s="601"/>
      <c r="K484" s="598"/>
      <c r="L484" s="598" t="s">
        <v>499</v>
      </c>
      <c r="M484" s="602">
        <f>7.5/10</f>
        <v>0.75</v>
      </c>
      <c r="N484" s="602"/>
      <c r="O484" s="600">
        <f>ROUND(H482*M484,0)</f>
        <v>1</v>
      </c>
      <c r="P484" s="600">
        <f>O483-O484</f>
        <v>0</v>
      </c>
      <c r="Q484" s="598"/>
      <c r="R484" s="598"/>
      <c r="S484" s="598"/>
      <c r="T484" s="600"/>
      <c r="U484" s="600">
        <f>ROUND(T482*M484,0)</f>
        <v>0</v>
      </c>
      <c r="V484" s="598"/>
    </row>
    <row r="485" spans="1:22" s="604" customFormat="1" x14ac:dyDescent="0.45">
      <c r="A485" s="598"/>
      <c r="B485" s="598"/>
      <c r="C485" s="598"/>
      <c r="D485" s="598"/>
      <c r="E485" s="599"/>
      <c r="F485" s="603"/>
      <c r="G485" s="599"/>
      <c r="H485" s="600"/>
      <c r="I485" s="601"/>
      <c r="J485" s="601"/>
      <c r="K485" s="598"/>
      <c r="L485" s="598" t="s">
        <v>495</v>
      </c>
      <c r="M485" s="602">
        <v>0</v>
      </c>
      <c r="N485" s="602"/>
      <c r="O485" s="600">
        <v>0</v>
      </c>
      <c r="P485" s="600">
        <f>O483-O485</f>
        <v>1</v>
      </c>
      <c r="Q485" s="598"/>
      <c r="R485" s="598"/>
      <c r="S485" s="598"/>
      <c r="T485" s="600"/>
      <c r="U485" s="600">
        <f>ROUND(T482*M485,0)</f>
        <v>0</v>
      </c>
      <c r="V485" s="598"/>
    </row>
    <row r="486" spans="1:22" s="604" customFormat="1" x14ac:dyDescent="0.45">
      <c r="A486" s="598"/>
      <c r="B486" s="598"/>
      <c r="C486" s="598"/>
      <c r="D486" s="598"/>
      <c r="E486" s="599"/>
      <c r="F486" s="603"/>
      <c r="G486" s="599"/>
      <c r="H486" s="600"/>
      <c r="I486" s="601"/>
      <c r="J486" s="601"/>
      <c r="K486" s="598"/>
      <c r="L486" s="598"/>
      <c r="M486" s="602"/>
      <c r="N486" s="602"/>
      <c r="O486" s="602"/>
      <c r="P486" s="602"/>
      <c r="Q486" s="598"/>
      <c r="R486" s="598"/>
      <c r="S486" s="598"/>
      <c r="T486" s="600"/>
      <c r="U486" s="598"/>
      <c r="V486" s="598"/>
    </row>
    <row r="487" spans="1:22" s="604" customFormat="1" ht="199.5" x14ac:dyDescent="0.45">
      <c r="A487" s="598"/>
      <c r="B487" s="598" t="s">
        <v>735</v>
      </c>
      <c r="C487" s="598" t="s">
        <v>420</v>
      </c>
      <c r="D487" s="598" t="s">
        <v>712</v>
      </c>
      <c r="E487" s="599">
        <f>DGNBvægtning!I11</f>
        <v>5.0000000000000001E-3</v>
      </c>
      <c r="F487" s="600">
        <f>$F$461*G487</f>
        <v>0.85625646328852156</v>
      </c>
      <c r="G487" s="599">
        <f>E487/$E$461</f>
        <v>4.2812823164426077E-2</v>
      </c>
      <c r="H487" s="600">
        <v>1</v>
      </c>
      <c r="I487" s="601" t="s">
        <v>492</v>
      </c>
      <c r="J487" s="601"/>
      <c r="K487" s="598" t="s">
        <v>1051</v>
      </c>
      <c r="L487" s="598"/>
      <c r="M487" s="602"/>
      <c r="N487" s="603">
        <f>IF('Sortering af spørgsmål'!$C$27=Projektforudsætninger!$C$20,'Dialogpart 1'!$J$146,IF('Sortering af spørgsmål'!$C$27=Projektforudsætninger!$C$21,'Dialogpart 2'!$J$145,IF('Sortering af spørgsmål'!$C$27=Projektforudsætninger!$C$22,'Dialogpart 3'!$J$145,IF('Sortering af spørgsmål'!$C$27=Projektforudsætninger!$C$23,'Dialogpart 4'!$J$145,IF('Sortering af spørgsmål'!$C$27=Projektforudsætninger!$C$24,'Dialogpart 5'!$J$145,IF('Sortering af spørgsmål'!$C$27=Projektforudsætninger!$C$25,'Dialogpart 6'!$J$145,IF('Sortering af spørgsmål'!$C$27=Projektforudsætninger!$C$22,'Dialogpart 7'!$J$145,IF('Sortering af spørgsmål'!$C$27=Projektforudsætninger!$C$23,#REF!,IF('Sortering af spørgsmål'!$C$27=Projektforudsætninger!$C$24,#REF!,IF('Sortering af spørgsmål'!$C$27=Projektforudsætninger!$C$25,#REF!,0))))))))))</f>
        <v>0</v>
      </c>
      <c r="O487" s="603"/>
      <c r="P487" s="603"/>
      <c r="Q487" s="598"/>
      <c r="R487" s="599">
        <f>'Sortering af spørgsmål'!$E$27*(Arbejdsark!E487/SUM($E$467:$E$487))</f>
        <v>1.1538461538461539E-2</v>
      </c>
      <c r="S487" s="599">
        <f>R487/$R$461</f>
        <v>3.2967032967032947E-2</v>
      </c>
      <c r="T487" s="600">
        <f>$T$461*S487</f>
        <v>0.98901098901098838</v>
      </c>
      <c r="U487" s="598"/>
      <c r="V487" s="598"/>
    </row>
    <row r="488" spans="1:22" s="604" customFormat="1" x14ac:dyDescent="0.45">
      <c r="A488" s="598"/>
      <c r="B488" s="598"/>
      <c r="C488" s="598"/>
      <c r="D488" s="598"/>
      <c r="E488" s="599"/>
      <c r="F488" s="603"/>
      <c r="G488" s="599"/>
      <c r="H488" s="600"/>
      <c r="I488" s="601"/>
      <c r="J488" s="601"/>
      <c r="K488" s="598"/>
      <c r="L488" s="598" t="s">
        <v>498</v>
      </c>
      <c r="M488" s="602">
        <v>1</v>
      </c>
      <c r="N488" s="602"/>
      <c r="O488" s="600">
        <f>ROUND(H487*M488,0)</f>
        <v>1</v>
      </c>
      <c r="P488" s="600">
        <f>O488-O488</f>
        <v>0</v>
      </c>
      <c r="Q488" s="598"/>
      <c r="R488" s="598"/>
      <c r="S488" s="598"/>
      <c r="T488" s="600"/>
      <c r="U488" s="600">
        <f>ROUND(T487*M488,0)</f>
        <v>1</v>
      </c>
      <c r="V488" s="598"/>
    </row>
    <row r="489" spans="1:22" s="604" customFormat="1" x14ac:dyDescent="0.45">
      <c r="A489" s="598"/>
      <c r="B489" s="598"/>
      <c r="C489" s="598"/>
      <c r="D489" s="598"/>
      <c r="E489" s="599"/>
      <c r="F489" s="603"/>
      <c r="G489" s="599"/>
      <c r="H489" s="600"/>
      <c r="I489" s="601"/>
      <c r="J489" s="601"/>
      <c r="K489" s="598"/>
      <c r="L489" s="598" t="s">
        <v>499</v>
      </c>
      <c r="M489" s="602">
        <f>20/30</f>
        <v>0.66666666666666663</v>
      </c>
      <c r="N489" s="602"/>
      <c r="O489" s="600">
        <f>ROUND(H487*M489,0)</f>
        <v>1</v>
      </c>
      <c r="P489" s="600">
        <f>O488-O489</f>
        <v>0</v>
      </c>
      <c r="Q489" s="598"/>
      <c r="R489" s="598"/>
      <c r="S489" s="598"/>
      <c r="T489" s="600"/>
      <c r="U489" s="600">
        <f>ROUND(T487*M489,0)</f>
        <v>1</v>
      </c>
      <c r="V489" s="598"/>
    </row>
    <row r="490" spans="1:22" s="604" customFormat="1" x14ac:dyDescent="0.45">
      <c r="A490" s="598"/>
      <c r="B490" s="598"/>
      <c r="C490" s="598"/>
      <c r="D490" s="598"/>
      <c r="E490" s="599"/>
      <c r="F490" s="603"/>
      <c r="G490" s="599"/>
      <c r="H490" s="600"/>
      <c r="I490" s="601"/>
      <c r="J490" s="601"/>
      <c r="K490" s="598"/>
      <c r="L490" s="598" t="s">
        <v>495</v>
      </c>
      <c r="M490" s="602">
        <v>0</v>
      </c>
      <c r="N490" s="602"/>
      <c r="O490" s="600">
        <f>ROUND(H487*M490,0)</f>
        <v>0</v>
      </c>
      <c r="P490" s="600">
        <f>O488-O490</f>
        <v>1</v>
      </c>
      <c r="Q490" s="598"/>
      <c r="R490" s="598"/>
      <c r="S490" s="598"/>
      <c r="T490" s="600"/>
      <c r="U490" s="600">
        <f>ROUND(T487*M490,0)</f>
        <v>0</v>
      </c>
      <c r="V490" s="598"/>
    </row>
    <row r="491" spans="1:22" s="604" customFormat="1" x14ac:dyDescent="0.45">
      <c r="A491" s="598"/>
      <c r="B491" s="598"/>
      <c r="C491" s="598"/>
      <c r="D491" s="598"/>
      <c r="E491" s="599"/>
      <c r="F491" s="603"/>
      <c r="G491" s="599"/>
      <c r="H491" s="600"/>
      <c r="I491" s="601"/>
      <c r="J491" s="601"/>
      <c r="K491" s="598"/>
      <c r="L491" s="598"/>
      <c r="M491" s="602"/>
      <c r="N491" s="602"/>
      <c r="O491" s="602"/>
      <c r="P491" s="602"/>
      <c r="Q491" s="598"/>
      <c r="R491" s="598"/>
      <c r="S491" s="598"/>
      <c r="T491" s="600"/>
      <c r="U491" s="598"/>
      <c r="V491" s="598"/>
    </row>
    <row r="492" spans="1:22" s="604" customFormat="1" ht="242.25" x14ac:dyDescent="0.45">
      <c r="A492" s="598" t="s">
        <v>580</v>
      </c>
      <c r="B492" s="598" t="s">
        <v>392</v>
      </c>
      <c r="C492" s="598" t="s">
        <v>707</v>
      </c>
      <c r="D492" s="598" t="s">
        <v>890</v>
      </c>
      <c r="E492" s="599">
        <f>DGNBvægtning!G12+DGNBvægtning!I85</f>
        <v>3.6231884057971009E-2</v>
      </c>
      <c r="F492" s="600">
        <f>$F$461*G492</f>
        <v>6.2047569803516041</v>
      </c>
      <c r="G492" s="599">
        <f>E492/$E$461</f>
        <v>0.31023784901758023</v>
      </c>
      <c r="H492" s="600">
        <v>3</v>
      </c>
      <c r="I492" s="601" t="s">
        <v>492</v>
      </c>
      <c r="J492" s="601"/>
      <c r="K492" s="598" t="s">
        <v>1052</v>
      </c>
      <c r="L492" s="598"/>
      <c r="M492" s="602"/>
      <c r="N492" s="603">
        <f>IF('Sortering af spørgsmål'!$C$28=Projektforudsætninger!$C$20,'Dialogpart 1'!$J$149,IF('Sortering af spørgsmål'!$C$28=Projektforudsætninger!$C$21,'Dialogpart 2'!$J$148,IF('Sortering af spørgsmål'!$C$28=Projektforudsætninger!$C$22,'Dialogpart 3'!$J$148,IF('Sortering af spørgsmål'!$C$28=Projektforudsætninger!$C$23,'Dialogpart 4'!$J$148,IF('Sortering af spørgsmål'!$C$28=Projektforudsætninger!$C$24,'Dialogpart 5'!$J$148,IF('Sortering af spørgsmål'!$C$28=Projektforudsætninger!$C$25,'Dialogpart 6'!$J$148,IF('Sortering af spørgsmål'!$C$28=Projektforudsætninger!$C$22,'Dialogpart 7'!$J$148,IF('Sortering af spørgsmål'!$C$28=Projektforudsætninger!$C$23,#REF!,IF('Sortering af spørgsmål'!$C$28=Projektforudsætninger!$C$24,#REF!,IF('Sortering af spørgsmål'!$C$28=Projektforudsætninger!$C$25,#REF!,0))))))))))</f>
        <v>0</v>
      </c>
      <c r="O492" s="603"/>
      <c r="P492" s="603"/>
      <c r="Q492" s="598"/>
      <c r="R492" s="599">
        <f>'Sortering af spørgsmål'!$E$28*(Arbejdsark!E492/SUM($E$492:$E$496))</f>
        <v>0.05</v>
      </c>
      <c r="S492" s="599">
        <f>R492/$R$461</f>
        <v>0.14285714285714277</v>
      </c>
      <c r="T492" s="600">
        <f>$T$461*S492</f>
        <v>4.2857142857142829</v>
      </c>
      <c r="U492" s="598"/>
      <c r="V492" s="598"/>
    </row>
    <row r="493" spans="1:22" s="604" customFormat="1" x14ac:dyDescent="0.45">
      <c r="A493" s="598"/>
      <c r="B493" s="598"/>
      <c r="C493" s="598"/>
      <c r="D493" s="598"/>
      <c r="E493" s="599"/>
      <c r="F493" s="603"/>
      <c r="G493" s="599"/>
      <c r="H493" s="600"/>
      <c r="I493" s="601"/>
      <c r="J493" s="601"/>
      <c r="K493" s="598"/>
      <c r="L493" s="598" t="s">
        <v>498</v>
      </c>
      <c r="M493" s="602">
        <v>1</v>
      </c>
      <c r="N493" s="602"/>
      <c r="O493" s="600">
        <f>ROUND(H492*M493,0)</f>
        <v>3</v>
      </c>
      <c r="P493" s="600">
        <f>O493-O493</f>
        <v>0</v>
      </c>
      <c r="Q493" s="598"/>
      <c r="R493" s="598"/>
      <c r="S493" s="598"/>
      <c r="T493" s="600"/>
      <c r="U493" s="600">
        <f>ROUND(T492*M493,0)</f>
        <v>4</v>
      </c>
      <c r="V493" s="598"/>
    </row>
    <row r="494" spans="1:22" s="604" customFormat="1" x14ac:dyDescent="0.45">
      <c r="A494" s="598"/>
      <c r="B494" s="598"/>
      <c r="C494" s="598"/>
      <c r="D494" s="598"/>
      <c r="E494" s="599"/>
      <c r="F494" s="603"/>
      <c r="G494" s="599"/>
      <c r="H494" s="600"/>
      <c r="I494" s="601"/>
      <c r="J494" s="601"/>
      <c r="K494" s="598"/>
      <c r="L494" s="598" t="s">
        <v>499</v>
      </c>
      <c r="M494" s="602">
        <v>0.5</v>
      </c>
      <c r="N494" s="602"/>
      <c r="O494" s="600">
        <f>ROUND(H492*M494,0)</f>
        <v>2</v>
      </c>
      <c r="P494" s="600">
        <f>O493-O494</f>
        <v>1</v>
      </c>
      <c r="Q494" s="598"/>
      <c r="R494" s="598"/>
      <c r="S494" s="598"/>
      <c r="T494" s="600"/>
      <c r="U494" s="600">
        <f>ROUND(T492*M494,0)</f>
        <v>2</v>
      </c>
      <c r="V494" s="598"/>
    </row>
    <row r="495" spans="1:22" s="604" customFormat="1" x14ac:dyDescent="0.45">
      <c r="A495" s="598"/>
      <c r="B495" s="598"/>
      <c r="C495" s="598"/>
      <c r="D495" s="598"/>
      <c r="E495" s="599"/>
      <c r="F495" s="603"/>
      <c r="G495" s="599"/>
      <c r="H495" s="600"/>
      <c r="I495" s="601"/>
      <c r="J495" s="601"/>
      <c r="K495" s="598"/>
      <c r="L495" s="598" t="s">
        <v>495</v>
      </c>
      <c r="M495" s="602">
        <v>0</v>
      </c>
      <c r="N495" s="602"/>
      <c r="O495" s="600">
        <f>ROUND(H492*M495,0)</f>
        <v>0</v>
      </c>
      <c r="P495" s="600">
        <f>O493-O495</f>
        <v>3</v>
      </c>
      <c r="Q495" s="598"/>
      <c r="R495" s="598"/>
      <c r="S495" s="598"/>
      <c r="T495" s="600"/>
      <c r="U495" s="600">
        <f>ROUND(T492*M495,0)</f>
        <v>0</v>
      </c>
      <c r="V495" s="598"/>
    </row>
    <row r="496" spans="1:22" s="604" customFormat="1" x14ac:dyDescent="0.45">
      <c r="A496" s="598"/>
      <c r="B496" s="598"/>
      <c r="C496" s="598"/>
      <c r="D496" s="598"/>
      <c r="E496" s="599"/>
      <c r="F496" s="603"/>
      <c r="G496" s="599"/>
      <c r="H496" s="600"/>
      <c r="I496" s="601"/>
      <c r="J496" s="601"/>
      <c r="K496" s="598"/>
      <c r="L496" s="598"/>
      <c r="M496" s="602"/>
      <c r="N496" s="602"/>
      <c r="O496" s="602"/>
      <c r="P496" s="602"/>
      <c r="Q496" s="598"/>
      <c r="R496" s="598"/>
      <c r="S496" s="598"/>
      <c r="T496" s="600"/>
      <c r="U496" s="598"/>
      <c r="V496" s="598"/>
    </row>
    <row r="497" spans="1:22" s="604" customFormat="1" ht="270.75" x14ac:dyDescent="0.45">
      <c r="A497" s="598" t="s">
        <v>581</v>
      </c>
      <c r="B497" s="598" t="s">
        <v>396</v>
      </c>
      <c r="C497" s="598" t="s">
        <v>582</v>
      </c>
      <c r="D497" s="598" t="s">
        <v>887</v>
      </c>
      <c r="E497" s="599">
        <f>DGNBvægtning!G23</f>
        <v>1.1111111111111112E-2</v>
      </c>
      <c r="F497" s="600">
        <f>$F$461*G497</f>
        <v>1.902792140641159</v>
      </c>
      <c r="G497" s="599">
        <f>E497/$E$461</f>
        <v>9.5139607032057955E-2</v>
      </c>
      <c r="H497" s="600">
        <v>2</v>
      </c>
      <c r="I497" s="601" t="s">
        <v>492</v>
      </c>
      <c r="J497" s="601"/>
      <c r="K497" s="598" t="s">
        <v>1053</v>
      </c>
      <c r="L497" s="598"/>
      <c r="M497" s="602"/>
      <c r="N497" s="603">
        <f>IF('Sortering af spørgsmål'!$C$29=Projektforudsætninger!$C$20,'Dialogpart 1'!$J$152,IF('Sortering af spørgsmål'!$C$29=Projektforudsætninger!$C$21,'Dialogpart 2'!$J$151,IF('Sortering af spørgsmål'!$C$29=Projektforudsætninger!$C$22,'Dialogpart 3'!$J$151,IF('Sortering af spørgsmål'!$C$29=Projektforudsætninger!$C$23,'Dialogpart 4'!$J$151,IF('Sortering af spørgsmål'!$C$29=Projektforudsætninger!$C$24,'Dialogpart 5'!$J$151,IF('Sortering af spørgsmål'!$C$29=Projektforudsætninger!$C$25,'Dialogpart 6'!$J$151,IF('Sortering af spørgsmål'!$C$29=Projektforudsætninger!$C$22,'Dialogpart 7'!$J$151,IF('Sortering af spørgsmål'!$C$29=Projektforudsætninger!$C$23,#REF!,IF('Sortering af spørgsmål'!$C$29=Projektforudsætninger!$C$24,#REF!,IF('Sortering af spørgsmål'!$C$29=Projektforudsætninger!$C$25,#REF!,0))))))))))</f>
        <v>0</v>
      </c>
      <c r="O497" s="603"/>
      <c r="P497" s="603"/>
      <c r="Q497" s="598"/>
      <c r="R497" s="599">
        <f>'Sortering af spørgsmål'!$E$29*(Arbejdsark!E497/SUM($E$497:$E$501))</f>
        <v>0.05</v>
      </c>
      <c r="S497" s="599">
        <f>R497/$R$461</f>
        <v>0.14285714285714277</v>
      </c>
      <c r="T497" s="600">
        <f>$T$461*S497</f>
        <v>4.2857142857142829</v>
      </c>
      <c r="U497" s="598"/>
      <c r="V497" s="598"/>
    </row>
    <row r="498" spans="1:22" s="604" customFormat="1" ht="57" x14ac:dyDescent="0.45">
      <c r="A498" s="598"/>
      <c r="B498" s="598"/>
      <c r="C498" s="598"/>
      <c r="D498" s="598"/>
      <c r="E498" s="599"/>
      <c r="F498" s="603"/>
      <c r="G498" s="599"/>
      <c r="H498" s="600"/>
      <c r="I498" s="601"/>
      <c r="J498" s="601"/>
      <c r="K498" s="598" t="s">
        <v>663</v>
      </c>
      <c r="L498" s="598" t="s">
        <v>498</v>
      </c>
      <c r="M498" s="602">
        <v>1</v>
      </c>
      <c r="N498" s="602"/>
      <c r="O498" s="600">
        <f>ROUND(H497*M498,0)</f>
        <v>2</v>
      </c>
      <c r="P498" s="600">
        <f>O498-O498</f>
        <v>0</v>
      </c>
      <c r="Q498" s="598"/>
      <c r="R498" s="598"/>
      <c r="S498" s="598"/>
      <c r="T498" s="600"/>
      <c r="U498" s="600">
        <f>ROUND(T497*M498,0)</f>
        <v>4</v>
      </c>
      <c r="V498" s="598"/>
    </row>
    <row r="499" spans="1:22" s="604" customFormat="1" x14ac:dyDescent="0.45">
      <c r="A499" s="598"/>
      <c r="B499" s="598"/>
      <c r="C499" s="598"/>
      <c r="D499" s="598"/>
      <c r="E499" s="599"/>
      <c r="F499" s="603"/>
      <c r="G499" s="599"/>
      <c r="H499" s="600"/>
      <c r="I499" s="601"/>
      <c r="J499" s="601"/>
      <c r="K499" s="598"/>
      <c r="L499" s="598" t="s">
        <v>499</v>
      </c>
      <c r="M499" s="602">
        <v>0.5</v>
      </c>
      <c r="N499" s="602"/>
      <c r="O499" s="600">
        <f>ROUND(H497*M499,0)</f>
        <v>1</v>
      </c>
      <c r="P499" s="600">
        <f>O498-O499</f>
        <v>1</v>
      </c>
      <c r="Q499" s="598"/>
      <c r="R499" s="598"/>
      <c r="S499" s="598"/>
      <c r="T499" s="600"/>
      <c r="U499" s="600">
        <f>ROUND(T497*M499,0)</f>
        <v>2</v>
      </c>
      <c r="V499" s="598"/>
    </row>
    <row r="500" spans="1:22" s="604" customFormat="1" x14ac:dyDescent="0.45">
      <c r="A500" s="598"/>
      <c r="B500" s="598"/>
      <c r="C500" s="598"/>
      <c r="D500" s="598"/>
      <c r="E500" s="599"/>
      <c r="F500" s="603"/>
      <c r="G500" s="599"/>
      <c r="H500" s="600"/>
      <c r="I500" s="601"/>
      <c r="J500" s="601"/>
      <c r="K500" s="598"/>
      <c r="L500" s="598" t="s">
        <v>495</v>
      </c>
      <c r="M500" s="602">
        <v>0</v>
      </c>
      <c r="N500" s="602"/>
      <c r="O500" s="600">
        <f>ROUND(H497*M500,0)</f>
        <v>0</v>
      </c>
      <c r="P500" s="600">
        <f>O498-O500</f>
        <v>2</v>
      </c>
      <c r="Q500" s="598"/>
      <c r="R500" s="598"/>
      <c r="S500" s="598"/>
      <c r="T500" s="600"/>
      <c r="U500" s="600">
        <f>ROUND(T497*M500,0)</f>
        <v>0</v>
      </c>
      <c r="V500" s="598"/>
    </row>
    <row r="501" spans="1:22" s="604" customFormat="1" x14ac:dyDescent="0.45">
      <c r="A501" s="598"/>
      <c r="B501" s="598"/>
      <c r="C501" s="598"/>
      <c r="D501" s="598"/>
      <c r="E501" s="599"/>
      <c r="F501" s="603"/>
      <c r="G501" s="599"/>
      <c r="H501" s="600"/>
      <c r="I501" s="601"/>
      <c r="J501" s="601"/>
      <c r="K501" s="598"/>
      <c r="L501" s="598"/>
      <c r="M501" s="602"/>
      <c r="N501" s="602"/>
      <c r="O501" s="602"/>
      <c r="P501" s="602"/>
      <c r="Q501" s="598"/>
      <c r="R501" s="598"/>
      <c r="S501" s="598"/>
      <c r="T501" s="600"/>
      <c r="U501" s="598"/>
      <c r="V501" s="598"/>
    </row>
    <row r="502" spans="1:22" s="604" customFormat="1" ht="285" x14ac:dyDescent="0.45">
      <c r="A502" s="598" t="s">
        <v>664</v>
      </c>
      <c r="B502" s="598" t="s">
        <v>732</v>
      </c>
      <c r="C502" s="598" t="s">
        <v>583</v>
      </c>
      <c r="D502" s="598" t="s">
        <v>713</v>
      </c>
      <c r="E502" s="599">
        <f>DGNBvægtning!I27</f>
        <v>3.3333333333333335E-3</v>
      </c>
      <c r="F502" s="600">
        <f>$F$461*G502</f>
        <v>0.57083764219234767</v>
      </c>
      <c r="G502" s="599">
        <f>E502/$E$461</f>
        <v>2.8541882109617386E-2</v>
      </c>
      <c r="H502" s="600">
        <v>1</v>
      </c>
      <c r="I502" s="601" t="s">
        <v>492</v>
      </c>
      <c r="J502" s="601"/>
      <c r="K502" s="598" t="s">
        <v>1054</v>
      </c>
      <c r="L502" s="598"/>
      <c r="M502" s="602"/>
      <c r="N502" s="603">
        <f>IF('Sortering af spørgsmål'!$C$30=Projektforudsætninger!$C$20,'Dialogpart 1'!$J$155,IF('Sortering af spørgsmål'!$C$30=Projektforudsætninger!$C$21,'Dialogpart 2'!$J$154,IF('Sortering af spørgsmål'!$C$30=Projektforudsætninger!$C$22,'Dialogpart 3'!$J$154,IF('Sortering af spørgsmål'!$C$30=Projektforudsætninger!$C$23,'Dialogpart 4'!$J$154,IF('Sortering af spørgsmål'!$C$30=Projektforudsætninger!$C$24,'Dialogpart 5'!$J$154,IF('Sortering af spørgsmål'!$C$30=Projektforudsætninger!$C$25,'Dialogpart 6'!$J$154,IF('Sortering af spørgsmål'!$C$30=Projektforudsætninger!$C$22,'Dialogpart 7'!$J$154,IF('Sortering af spørgsmål'!$C$30=Projektforudsætninger!$C$23,#REF!,IF('Sortering af spørgsmål'!$C$30=Projektforudsætninger!$C$24,#REF!,IF('Sortering af spørgsmål'!$C$30=Projektforudsætninger!$C$25,#REF!,0))))))))))</f>
        <v>0</v>
      </c>
      <c r="O502" s="603"/>
      <c r="P502" s="603"/>
      <c r="Q502" s="598"/>
      <c r="R502" s="599">
        <f>'Sortering af spørgsmål'!$E$30*(Arbejdsark!E502/SUM($E$502:$E$512))</f>
        <v>1.4999999999999999E-2</v>
      </c>
      <c r="S502" s="599">
        <f>R502/$R$461</f>
        <v>4.2857142857142823E-2</v>
      </c>
      <c r="T502" s="600">
        <f>$T$461*S502</f>
        <v>1.2857142857142847</v>
      </c>
      <c r="U502" s="598"/>
      <c r="V502" s="598"/>
    </row>
    <row r="503" spans="1:22" s="604" customFormat="1" x14ac:dyDescent="0.45">
      <c r="A503" s="598"/>
      <c r="B503" s="598"/>
      <c r="C503" s="598"/>
      <c r="D503" s="598"/>
      <c r="E503" s="599"/>
      <c r="F503" s="603"/>
      <c r="G503" s="599"/>
      <c r="H503" s="600"/>
      <c r="I503" s="601"/>
      <c r="J503" s="601"/>
      <c r="K503" s="598"/>
      <c r="L503" s="598" t="s">
        <v>498</v>
      </c>
      <c r="M503" s="602">
        <v>1</v>
      </c>
      <c r="N503" s="602"/>
      <c r="O503" s="600">
        <f>ROUND(H502*M503,0)</f>
        <v>1</v>
      </c>
      <c r="P503" s="600">
        <f>O503-O503</f>
        <v>0</v>
      </c>
      <c r="Q503" s="598"/>
      <c r="R503" s="598"/>
      <c r="S503" s="598"/>
      <c r="T503" s="600"/>
      <c r="U503" s="600">
        <f>ROUND(T502*M503,0)</f>
        <v>1</v>
      </c>
      <c r="V503" s="598"/>
    </row>
    <row r="504" spans="1:22" s="604" customFormat="1" x14ac:dyDescent="0.45">
      <c r="A504" s="598"/>
      <c r="B504" s="598"/>
      <c r="C504" s="598"/>
      <c r="D504" s="598"/>
      <c r="E504" s="599"/>
      <c r="F504" s="603"/>
      <c r="G504" s="599"/>
      <c r="H504" s="600"/>
      <c r="I504" s="601"/>
      <c r="J504" s="601"/>
      <c r="K504" s="598"/>
      <c r="L504" s="598" t="s">
        <v>499</v>
      </c>
      <c r="M504" s="602">
        <v>0.5</v>
      </c>
      <c r="N504" s="602"/>
      <c r="O504" s="600">
        <f>ROUND(H502*M504,0)</f>
        <v>1</v>
      </c>
      <c r="P504" s="600">
        <f>O503-O504</f>
        <v>0</v>
      </c>
      <c r="Q504" s="598"/>
      <c r="R504" s="598"/>
      <c r="S504" s="598"/>
      <c r="T504" s="600"/>
      <c r="U504" s="600">
        <f>ROUND(T502*M504,0)</f>
        <v>1</v>
      </c>
      <c r="V504" s="598"/>
    </row>
    <row r="505" spans="1:22" s="604" customFormat="1" x14ac:dyDescent="0.45">
      <c r="A505" s="598"/>
      <c r="B505" s="598"/>
      <c r="C505" s="598"/>
      <c r="D505" s="598"/>
      <c r="E505" s="599"/>
      <c r="F505" s="603"/>
      <c r="G505" s="599"/>
      <c r="H505" s="600"/>
      <c r="I505" s="601"/>
      <c r="J505" s="601"/>
      <c r="K505" s="598"/>
      <c r="L505" s="598" t="s">
        <v>495</v>
      </c>
      <c r="M505" s="602">
        <v>0</v>
      </c>
      <c r="N505" s="602"/>
      <c r="O505" s="600">
        <f>ROUND(H502*M505,0)</f>
        <v>0</v>
      </c>
      <c r="P505" s="600">
        <f>O503-O505</f>
        <v>1</v>
      </c>
      <c r="Q505" s="598"/>
      <c r="R505" s="598"/>
      <c r="S505" s="598"/>
      <c r="T505" s="600"/>
      <c r="U505" s="600">
        <f>ROUND(T502*M505,0)</f>
        <v>0</v>
      </c>
      <c r="V505" s="598"/>
    </row>
    <row r="506" spans="1:22" s="604" customFormat="1" x14ac:dyDescent="0.45">
      <c r="A506" s="598"/>
      <c r="B506" s="598"/>
      <c r="C506" s="598"/>
      <c r="D506" s="598"/>
      <c r="E506" s="599"/>
      <c r="F506" s="603"/>
      <c r="G506" s="599"/>
      <c r="H506" s="600"/>
      <c r="I506" s="601"/>
      <c r="J506" s="601"/>
      <c r="K506" s="744"/>
      <c r="L506" s="598"/>
      <c r="M506" s="602"/>
      <c r="N506" s="602"/>
      <c r="O506" s="602"/>
      <c r="P506" s="602"/>
      <c r="Q506" s="598"/>
      <c r="R506" s="598"/>
      <c r="S506" s="598"/>
      <c r="T506" s="600"/>
      <c r="U506" s="598"/>
      <c r="V506" s="598"/>
    </row>
    <row r="507" spans="1:22" s="604" customFormat="1" ht="285" x14ac:dyDescent="0.45">
      <c r="A507" s="598"/>
      <c r="B507" s="598" t="s">
        <v>738</v>
      </c>
      <c r="C507" s="598" t="s">
        <v>584</v>
      </c>
      <c r="D507" s="598" t="s">
        <v>714</v>
      </c>
      <c r="E507" s="599">
        <f>DGNBvægtning!I28</f>
        <v>3.3333333333333335E-3</v>
      </c>
      <c r="F507" s="600">
        <f>$F$461*G507</f>
        <v>0.57083764219234767</v>
      </c>
      <c r="G507" s="599">
        <f>E507/$E$461</f>
        <v>2.8541882109617386E-2</v>
      </c>
      <c r="H507" s="600">
        <v>1</v>
      </c>
      <c r="I507" s="601" t="s">
        <v>492</v>
      </c>
      <c r="J507" s="601"/>
      <c r="K507" s="598" t="s">
        <v>1055</v>
      </c>
      <c r="L507" s="744"/>
      <c r="M507" s="602"/>
      <c r="N507" s="603">
        <f>IF('Sortering af spørgsmål'!$C$30=Projektforudsætninger!$C$20,'Dialogpart 1'!$J$156,IF('Sortering af spørgsmål'!$C$30=Projektforudsætninger!$C$21,'Dialogpart 2'!$J$155,IF('Sortering af spørgsmål'!$C$30=Projektforudsætninger!$C$22,'Dialogpart 3'!$J$155,IF('Sortering af spørgsmål'!$C$30=Projektforudsætninger!$C$23,'Dialogpart 4'!$J$155,IF('Sortering af spørgsmål'!$C$30=Projektforudsætninger!$C$24,'Dialogpart 5'!$J$155,IF('Sortering af spørgsmål'!$C$30=Projektforudsætninger!$C$25,'Dialogpart 6'!$J$155,IF('Sortering af spørgsmål'!$C$30=Projektforudsætninger!$C$22,'Dialogpart 7'!$J$155,IF('Sortering af spørgsmål'!$C$30=Projektforudsætninger!$C$23,#REF!,IF('Sortering af spørgsmål'!$C$30=Projektforudsætninger!$C$24,#REF!,IF('Sortering af spørgsmål'!$C$30=Projektforudsætninger!$C$25,#REF!,0))))))))))</f>
        <v>0</v>
      </c>
      <c r="O507" s="603"/>
      <c r="P507" s="603"/>
      <c r="Q507" s="598"/>
      <c r="R507" s="599">
        <f>'Sortering af spørgsmål'!$E$30*(Arbejdsark!E507/SUM($E$502:$E$512))</f>
        <v>1.4999999999999999E-2</v>
      </c>
      <c r="S507" s="599">
        <f>R507/$R$461</f>
        <v>4.2857142857142823E-2</v>
      </c>
      <c r="T507" s="600">
        <f>$T$461*S507</f>
        <v>1.2857142857142847</v>
      </c>
      <c r="U507" s="598"/>
      <c r="V507" s="598"/>
    </row>
    <row r="508" spans="1:22" s="604" customFormat="1" ht="42.75" x14ac:dyDescent="0.45">
      <c r="A508" s="598"/>
      <c r="B508" s="598"/>
      <c r="C508" s="598"/>
      <c r="D508" s="744" t="s">
        <v>935</v>
      </c>
      <c r="E508" s="599"/>
      <c r="F508" s="603"/>
      <c r="G508" s="599"/>
      <c r="H508" s="600"/>
      <c r="I508" s="601"/>
      <c r="J508" s="601"/>
      <c r="K508" s="598" t="s">
        <v>930</v>
      </c>
      <c r="L508" s="598" t="s">
        <v>498</v>
      </c>
      <c r="M508" s="602">
        <v>1</v>
      </c>
      <c r="N508" s="602"/>
      <c r="O508" s="600">
        <f>ROUND(H507*M508,0)</f>
        <v>1</v>
      </c>
      <c r="P508" s="600">
        <f>O508-O508</f>
        <v>0</v>
      </c>
      <c r="Q508" s="598"/>
      <c r="R508" s="598"/>
      <c r="S508" s="598"/>
      <c r="T508" s="600"/>
      <c r="U508" s="600">
        <f>ROUND(T507*M508,0)</f>
        <v>1</v>
      </c>
      <c r="V508" s="598"/>
    </row>
    <row r="509" spans="1:22" s="604" customFormat="1" x14ac:dyDescent="0.45">
      <c r="A509" s="598"/>
      <c r="B509" s="598"/>
      <c r="C509" s="598"/>
      <c r="D509" s="598"/>
      <c r="E509" s="599"/>
      <c r="F509" s="603"/>
      <c r="G509" s="599"/>
      <c r="H509" s="600"/>
      <c r="I509" s="601"/>
      <c r="J509" s="601"/>
      <c r="K509" s="598"/>
      <c r="L509" s="598" t="s">
        <v>499</v>
      </c>
      <c r="M509" s="602">
        <v>0.5</v>
      </c>
      <c r="N509" s="602"/>
      <c r="O509" s="600">
        <f>ROUND(H507*M509,0)</f>
        <v>1</v>
      </c>
      <c r="P509" s="600">
        <f>O508-O509</f>
        <v>0</v>
      </c>
      <c r="Q509" s="598"/>
      <c r="R509" s="598"/>
      <c r="S509" s="598"/>
      <c r="T509" s="600"/>
      <c r="U509" s="600">
        <f>ROUND(T507*M509,0)</f>
        <v>1</v>
      </c>
      <c r="V509" s="598"/>
    </row>
    <row r="510" spans="1:22" s="604" customFormat="1" x14ac:dyDescent="0.45">
      <c r="A510" s="598"/>
      <c r="B510" s="598"/>
      <c r="C510" s="598"/>
      <c r="D510" s="598"/>
      <c r="E510" s="599"/>
      <c r="F510" s="603"/>
      <c r="G510" s="599"/>
      <c r="H510" s="600"/>
      <c r="I510" s="601"/>
      <c r="J510" s="601"/>
      <c r="K510" s="598"/>
      <c r="L510" s="598" t="s">
        <v>495</v>
      </c>
      <c r="M510" s="602">
        <v>0</v>
      </c>
      <c r="N510" s="602"/>
      <c r="O510" s="600">
        <f>ROUND(H507*M510,0)</f>
        <v>0</v>
      </c>
      <c r="P510" s="600">
        <f>O508-O510</f>
        <v>1</v>
      </c>
      <c r="Q510" s="598"/>
      <c r="R510" s="598"/>
      <c r="S510" s="598"/>
      <c r="T510" s="600"/>
      <c r="U510" s="600">
        <f>ROUND(T507*M510,0)</f>
        <v>0</v>
      </c>
      <c r="V510" s="598"/>
    </row>
    <row r="511" spans="1:22" s="604" customFormat="1" x14ac:dyDescent="0.45">
      <c r="A511" s="598"/>
      <c r="B511" s="598"/>
      <c r="C511" s="598"/>
      <c r="D511" s="598"/>
      <c r="E511" s="599"/>
      <c r="F511" s="603"/>
      <c r="G511" s="599"/>
      <c r="H511" s="600"/>
      <c r="I511" s="601"/>
      <c r="J511" s="601"/>
      <c r="K511" s="598"/>
      <c r="L511" s="598"/>
      <c r="M511" s="602"/>
      <c r="N511" s="602"/>
      <c r="O511" s="602"/>
      <c r="P511" s="602"/>
      <c r="Q511" s="598"/>
      <c r="R511" s="598"/>
      <c r="S511" s="598"/>
      <c r="T511" s="600"/>
      <c r="U511" s="598"/>
      <c r="V511" s="598"/>
    </row>
    <row r="512" spans="1:22" s="604" customFormat="1" ht="242.25" x14ac:dyDescent="0.45">
      <c r="A512" s="598"/>
      <c r="B512" s="598" t="s">
        <v>739</v>
      </c>
      <c r="C512" s="598" t="s">
        <v>585</v>
      </c>
      <c r="D512" s="598" t="s">
        <v>715</v>
      </c>
      <c r="E512" s="599">
        <f>DGNBvægtning!I29</f>
        <v>4.4444444444444444E-3</v>
      </c>
      <c r="F512" s="600">
        <f>$F$461*G512</f>
        <v>0.76111685625646353</v>
      </c>
      <c r="G512" s="599">
        <f>E512/$E$461</f>
        <v>3.8055842812823176E-2</v>
      </c>
      <c r="H512" s="600">
        <v>1</v>
      </c>
      <c r="I512" s="601" t="s">
        <v>492</v>
      </c>
      <c r="J512" s="601"/>
      <c r="K512" s="598" t="s">
        <v>1056</v>
      </c>
      <c r="L512" s="598"/>
      <c r="M512" s="602"/>
      <c r="N512" s="603">
        <f>IF('Sortering af spørgsmål'!$C$30=Projektforudsætninger!$C$20,'Dialogpart 1'!$J$157,IF('Sortering af spørgsmål'!$C$30=Projektforudsætninger!$C$21,'Dialogpart 2'!$J$156,IF('Sortering af spørgsmål'!$C$30=Projektforudsætninger!$C$22,'Dialogpart 3'!$J$156,IF('Sortering af spørgsmål'!$C$30=Projektforudsætninger!$C$23,'Dialogpart 4'!$J$156,IF('Sortering af spørgsmål'!$C$30=Projektforudsætninger!$C$24,'Dialogpart 5'!$J$156,IF('Sortering af spørgsmål'!$C$30=Projektforudsætninger!$C$25,'Dialogpart 6'!$J$156,IF('Sortering af spørgsmål'!$C$30=Projektforudsætninger!$C$22,'Dialogpart 7'!$J$156,IF('Sortering af spørgsmål'!$C$30=Projektforudsætninger!$C$23,#REF!,IF('Sortering af spørgsmål'!$C$30=Projektforudsætninger!$C$24,#REF!,IF('Sortering af spørgsmål'!$C$30=Projektforudsætninger!$C$25,#REF!,0))))))))))</f>
        <v>0</v>
      </c>
      <c r="O512" s="603"/>
      <c r="P512" s="603"/>
      <c r="Q512" s="598"/>
      <c r="R512" s="599">
        <f>'Sortering af spørgsmål'!$E$30*(Arbejdsark!E512/SUM($E$502:$E$512))</f>
        <v>0.02</v>
      </c>
      <c r="S512" s="599">
        <f>R512/$R$461</f>
        <v>5.7142857142857099E-2</v>
      </c>
      <c r="T512" s="600">
        <f>$T$461*S512</f>
        <v>1.7142857142857131</v>
      </c>
      <c r="U512" s="598"/>
      <c r="V512" s="598"/>
    </row>
    <row r="513" spans="1:22" s="604" customFormat="1" x14ac:dyDescent="0.45">
      <c r="A513" s="598"/>
      <c r="B513" s="598"/>
      <c r="C513" s="598"/>
      <c r="D513" s="598"/>
      <c r="E513" s="599"/>
      <c r="F513" s="603"/>
      <c r="G513" s="599"/>
      <c r="H513" s="600"/>
      <c r="I513" s="601"/>
      <c r="J513" s="601"/>
      <c r="K513" s="598"/>
      <c r="L513" s="598" t="s">
        <v>498</v>
      </c>
      <c r="M513" s="602">
        <v>1</v>
      </c>
      <c r="N513" s="602"/>
      <c r="O513" s="600">
        <f>ROUND(H512*M513,0)</f>
        <v>1</v>
      </c>
      <c r="P513" s="600">
        <f>O513-O513</f>
        <v>0</v>
      </c>
      <c r="Q513" s="598"/>
      <c r="R513" s="598"/>
      <c r="S513" s="598"/>
      <c r="T513" s="600"/>
      <c r="U513" s="600">
        <f>ROUND(T512*M513,0)</f>
        <v>2</v>
      </c>
      <c r="V513" s="598"/>
    </row>
    <row r="514" spans="1:22" s="604" customFormat="1" x14ac:dyDescent="0.45">
      <c r="A514" s="598"/>
      <c r="B514" s="598"/>
      <c r="C514" s="598"/>
      <c r="D514" s="598"/>
      <c r="E514" s="599"/>
      <c r="F514" s="603"/>
      <c r="G514" s="599"/>
      <c r="H514" s="600"/>
      <c r="I514" s="601"/>
      <c r="J514" s="601"/>
      <c r="K514" s="598"/>
      <c r="L514" s="598" t="s">
        <v>499</v>
      </c>
      <c r="M514" s="602">
        <v>0.5</v>
      </c>
      <c r="N514" s="602"/>
      <c r="O514" s="600">
        <f>ROUND(H512*M514,0)</f>
        <v>1</v>
      </c>
      <c r="P514" s="600">
        <f>O513-O514</f>
        <v>0</v>
      </c>
      <c r="Q514" s="598"/>
      <c r="R514" s="598"/>
      <c r="S514" s="598"/>
      <c r="T514" s="600"/>
      <c r="U514" s="600">
        <f>ROUND(T512*M514,0)</f>
        <v>1</v>
      </c>
      <c r="V514" s="598"/>
    </row>
    <row r="515" spans="1:22" s="604" customFormat="1" x14ac:dyDescent="0.45">
      <c r="A515" s="598"/>
      <c r="B515" s="598"/>
      <c r="C515" s="598"/>
      <c r="D515" s="598"/>
      <c r="E515" s="599"/>
      <c r="F515" s="603"/>
      <c r="G515" s="599"/>
      <c r="H515" s="600"/>
      <c r="I515" s="601"/>
      <c r="J515" s="601"/>
      <c r="K515" s="598"/>
      <c r="L515" s="598" t="s">
        <v>495</v>
      </c>
      <c r="M515" s="602">
        <v>0</v>
      </c>
      <c r="N515" s="602"/>
      <c r="O515" s="600">
        <f>ROUND(H512*M515,0)</f>
        <v>0</v>
      </c>
      <c r="P515" s="600">
        <f>O513-O515</f>
        <v>1</v>
      </c>
      <c r="Q515" s="598"/>
      <c r="R515" s="598"/>
      <c r="S515" s="598"/>
      <c r="T515" s="600"/>
      <c r="U515" s="600">
        <f>ROUND(T512*M515,0)</f>
        <v>0</v>
      </c>
      <c r="V515" s="598"/>
    </row>
    <row r="516" spans="1:22" s="604" customFormat="1" x14ac:dyDescent="0.45">
      <c r="A516" s="598"/>
      <c r="B516" s="598"/>
      <c r="C516" s="598"/>
      <c r="D516" s="598"/>
      <c r="E516" s="599"/>
      <c r="F516" s="603"/>
      <c r="G516" s="599"/>
      <c r="H516" s="600"/>
      <c r="I516" s="601"/>
      <c r="J516" s="601"/>
      <c r="K516" s="598"/>
      <c r="L516" s="598"/>
      <c r="M516" s="602"/>
      <c r="N516" s="602"/>
      <c r="O516" s="602"/>
      <c r="P516" s="602"/>
      <c r="Q516" s="598"/>
      <c r="R516" s="598"/>
      <c r="S516" s="598"/>
      <c r="T516" s="600"/>
      <c r="U516" s="598"/>
      <c r="V516" s="598"/>
    </row>
    <row r="517" spans="1:22" s="604" customFormat="1" ht="285" x14ac:dyDescent="0.45">
      <c r="A517" s="598" t="s">
        <v>586</v>
      </c>
      <c r="B517" s="598" t="s">
        <v>733</v>
      </c>
      <c r="C517" s="598" t="s">
        <v>587</v>
      </c>
      <c r="D517" s="598" t="s">
        <v>716</v>
      </c>
      <c r="E517" s="599">
        <f>DGNBvægtning!I31</f>
        <v>1.6666666666666668E-3</v>
      </c>
      <c r="F517" s="600">
        <f>$F$461*G517</f>
        <v>0.28541882109617384</v>
      </c>
      <c r="G517" s="599">
        <f>E517/$E$461</f>
        <v>1.4270941054808693E-2</v>
      </c>
      <c r="H517" s="600">
        <v>1</v>
      </c>
      <c r="I517" s="601" t="s">
        <v>492</v>
      </c>
      <c r="J517" s="601"/>
      <c r="K517" s="598" t="s">
        <v>1057</v>
      </c>
      <c r="L517" s="598"/>
      <c r="M517" s="602"/>
      <c r="N517" s="603">
        <f>IF('Sortering af spørgsmål'!$C$31=Projektforudsætninger!$C$20,'Dialogpart 1'!$J$160,IF('Sortering af spørgsmål'!$C$31=Projektforudsætninger!$C$21,'Dialogpart 2'!$J$159,IF('Sortering af spørgsmål'!$C$31=Projektforudsætninger!$C$22,'Dialogpart 3'!$J$159,IF('Sortering af spørgsmål'!$C$31=Projektforudsætninger!$C$23,'Dialogpart 4'!$J$159,IF('Sortering af spørgsmål'!$C$31=Projektforudsætninger!$C$24,'Dialogpart 5'!$J$159,IF('Sortering af spørgsmål'!$C$31=Projektforudsætninger!$C$25,'Dialogpart 6'!$J$159,IF('Sortering af spørgsmål'!$C$31=Projektforudsætninger!$C$22,'Dialogpart 7'!$J$159,IF('Sortering af spørgsmål'!$C$31=Projektforudsætninger!$C$23,#REF!,IF('Sortering af spørgsmål'!$C$31=Projektforudsætninger!$C$24,#REF!,IF('Sortering af spørgsmål'!$C$31=Projektforudsætninger!$C$25,#REF!,0))))))))))</f>
        <v>0</v>
      </c>
      <c r="O517" s="603"/>
      <c r="P517" s="603"/>
      <c r="Q517" s="598"/>
      <c r="R517" s="599">
        <f>'Sortering af spørgsmål'!$E$31*(Arbejdsark!E517/SUM($E$517:$E$542))</f>
        <v>8.333333333333335E-3</v>
      </c>
      <c r="S517" s="599">
        <f>R517/$R$461</f>
        <v>2.3809523809523798E-2</v>
      </c>
      <c r="T517" s="600">
        <f>$T$461*S517</f>
        <v>0.71428571428571397</v>
      </c>
      <c r="U517" s="598"/>
      <c r="V517" s="598"/>
    </row>
    <row r="518" spans="1:22" s="604" customFormat="1" ht="99.75" x14ac:dyDescent="0.45">
      <c r="A518" s="598"/>
      <c r="B518" s="598"/>
      <c r="C518" s="598"/>
      <c r="D518" s="598"/>
      <c r="E518" s="599"/>
      <c r="F518" s="603"/>
      <c r="G518" s="599"/>
      <c r="H518" s="600"/>
      <c r="I518" s="601"/>
      <c r="J518" s="601"/>
      <c r="K518" s="598" t="s">
        <v>931</v>
      </c>
      <c r="L518" s="598" t="s">
        <v>498</v>
      </c>
      <c r="M518" s="602">
        <v>1</v>
      </c>
      <c r="N518" s="602"/>
      <c r="O518" s="600">
        <f>ROUND(H517*M518,0)</f>
        <v>1</v>
      </c>
      <c r="P518" s="600">
        <f>O518-O518</f>
        <v>0</v>
      </c>
      <c r="Q518" s="598"/>
      <c r="R518" s="598"/>
      <c r="S518" s="598"/>
      <c r="T518" s="600"/>
      <c r="U518" s="600">
        <f>ROUND(T517*M518,0)</f>
        <v>1</v>
      </c>
      <c r="V518" s="598"/>
    </row>
    <row r="519" spans="1:22" s="604" customFormat="1" x14ac:dyDescent="0.45">
      <c r="A519" s="598"/>
      <c r="B519" s="598"/>
      <c r="C519" s="598"/>
      <c r="D519" s="598"/>
      <c r="E519" s="599"/>
      <c r="F519" s="603"/>
      <c r="G519" s="599"/>
      <c r="H519" s="600"/>
      <c r="I519" s="601"/>
      <c r="J519" s="601"/>
      <c r="K519" s="598"/>
      <c r="L519" s="598" t="s">
        <v>499</v>
      </c>
      <c r="M519" s="602">
        <v>0.8</v>
      </c>
      <c r="N519" s="602"/>
      <c r="O519" s="600">
        <f>ROUND(H517*M519,0)</f>
        <v>1</v>
      </c>
      <c r="P519" s="600">
        <f>O518-O519</f>
        <v>0</v>
      </c>
      <c r="Q519" s="598"/>
      <c r="R519" s="598"/>
      <c r="S519" s="598"/>
      <c r="T519" s="600"/>
      <c r="U519" s="600">
        <f>ROUND(T517*M519,0)</f>
        <v>1</v>
      </c>
      <c r="V519" s="598"/>
    </row>
    <row r="520" spans="1:22" s="604" customFormat="1" x14ac:dyDescent="0.45">
      <c r="A520" s="598"/>
      <c r="B520" s="598"/>
      <c r="C520" s="598"/>
      <c r="D520" s="598"/>
      <c r="E520" s="599"/>
      <c r="F520" s="603"/>
      <c r="G520" s="599"/>
      <c r="H520" s="600"/>
      <c r="I520" s="601"/>
      <c r="J520" s="601"/>
      <c r="K520" s="598"/>
      <c r="L520" s="598" t="s">
        <v>495</v>
      </c>
      <c r="M520" s="602">
        <v>0</v>
      </c>
      <c r="N520" s="602"/>
      <c r="O520" s="600">
        <f>ROUND(H517*M520,0)</f>
        <v>0</v>
      </c>
      <c r="P520" s="600">
        <f>O518-O520</f>
        <v>1</v>
      </c>
      <c r="Q520" s="598"/>
      <c r="R520" s="598"/>
      <c r="S520" s="598"/>
      <c r="T520" s="600"/>
      <c r="U520" s="600">
        <f>ROUND(T517*M520,0)</f>
        <v>0</v>
      </c>
      <c r="V520" s="598"/>
    </row>
    <row r="521" spans="1:22" s="604" customFormat="1" x14ac:dyDescent="0.45">
      <c r="A521" s="598"/>
      <c r="B521" s="598"/>
      <c r="C521" s="598"/>
      <c r="D521" s="598"/>
      <c r="E521" s="599"/>
      <c r="F521" s="603"/>
      <c r="G521" s="599"/>
      <c r="H521" s="600"/>
      <c r="I521" s="601"/>
      <c r="J521" s="601"/>
      <c r="K521" s="598"/>
      <c r="L521" s="598"/>
      <c r="M521" s="602"/>
      <c r="N521" s="602"/>
      <c r="O521" s="602"/>
      <c r="P521" s="602"/>
      <c r="Q521" s="598"/>
      <c r="R521" s="598"/>
      <c r="S521" s="598"/>
      <c r="T521" s="600"/>
      <c r="U521" s="598"/>
      <c r="V521" s="598"/>
    </row>
    <row r="522" spans="1:22" s="604" customFormat="1" ht="285" x14ac:dyDescent="0.45">
      <c r="A522" s="598"/>
      <c r="B522" s="598" t="s">
        <v>734</v>
      </c>
      <c r="C522" s="598" t="s">
        <v>588</v>
      </c>
      <c r="D522" s="598" t="s">
        <v>717</v>
      </c>
      <c r="E522" s="599">
        <f>DGNBvægtning!I32</f>
        <v>1.6666666666666668E-3</v>
      </c>
      <c r="F522" s="600">
        <f>$F$461*G522</f>
        <v>0.28541882109617384</v>
      </c>
      <c r="G522" s="599">
        <f>E522/$E$461</f>
        <v>1.4270941054808693E-2</v>
      </c>
      <c r="H522" s="600">
        <v>1</v>
      </c>
      <c r="I522" s="601" t="s">
        <v>492</v>
      </c>
      <c r="J522" s="601"/>
      <c r="K522" s="598" t="s">
        <v>1058</v>
      </c>
      <c r="L522" s="598"/>
      <c r="M522" s="602"/>
      <c r="N522" s="603">
        <f>IF('Sortering af spørgsmål'!$C$31=Projektforudsætninger!$C$20,'Dialogpart 1'!$J$161,IF('Sortering af spørgsmål'!$C$31=Projektforudsætninger!$C$21,'Dialogpart 2'!$J$160,IF('Sortering af spørgsmål'!$C$31=Projektforudsætninger!$C$22,'Dialogpart 3'!$J$160,IF('Sortering af spørgsmål'!$C$31=Projektforudsætninger!$C$23,'Dialogpart 4'!$J$160,IF('Sortering af spørgsmål'!$C$31=Projektforudsætninger!$C$24,'Dialogpart 5'!$J$160,IF('Sortering af spørgsmål'!$C$31=Projektforudsætninger!$C$25,'Dialogpart 6'!$J$160,IF('Sortering af spørgsmål'!$C$31=Projektforudsætninger!$C$22,'Dialogpart 7'!$J$160,IF('Sortering af spørgsmål'!$C$31=Projektforudsætninger!$C$23,#REF!,IF('Sortering af spørgsmål'!$C$31=Projektforudsætninger!$C$24,#REF!,IF('Sortering af spørgsmål'!$C$31=Projektforudsætninger!$C$25,#REF!,0))))))))))</f>
        <v>0</v>
      </c>
      <c r="O522" s="603"/>
      <c r="P522" s="603"/>
      <c r="Q522" s="598"/>
      <c r="R522" s="599">
        <f>'Sortering af spørgsmål'!$E$31*(Arbejdsark!E522/SUM($E$517:$E$542))</f>
        <v>8.333333333333335E-3</v>
      </c>
      <c r="S522" s="599">
        <f>R522/$R$461</f>
        <v>2.3809523809523798E-2</v>
      </c>
      <c r="T522" s="600">
        <f>$T$461*S522</f>
        <v>0.71428571428571397</v>
      </c>
      <c r="U522" s="598"/>
      <c r="V522" s="598"/>
    </row>
    <row r="523" spans="1:22" s="604" customFormat="1" x14ac:dyDescent="0.45">
      <c r="A523" s="598"/>
      <c r="B523" s="598"/>
      <c r="C523" s="598"/>
      <c r="D523" s="598"/>
      <c r="E523" s="599"/>
      <c r="F523" s="603"/>
      <c r="G523" s="599"/>
      <c r="H523" s="600"/>
      <c r="I523" s="601"/>
      <c r="J523" s="601"/>
      <c r="K523" s="598"/>
      <c r="L523" s="598" t="s">
        <v>498</v>
      </c>
      <c r="M523" s="602">
        <v>1</v>
      </c>
      <c r="N523" s="602"/>
      <c r="O523" s="600">
        <f>ROUND(H522*M523,0)</f>
        <v>1</v>
      </c>
      <c r="P523" s="600">
        <f>O523-O523</f>
        <v>0</v>
      </c>
      <c r="Q523" s="598"/>
      <c r="R523" s="598"/>
      <c r="S523" s="598"/>
      <c r="T523" s="600"/>
      <c r="U523" s="600">
        <f>ROUND(T522*M523,0)</f>
        <v>1</v>
      </c>
      <c r="V523" s="598"/>
    </row>
    <row r="524" spans="1:22" s="604" customFormat="1" x14ac:dyDescent="0.45">
      <c r="A524" s="598"/>
      <c r="B524" s="598"/>
      <c r="C524" s="598"/>
      <c r="D524" s="598"/>
      <c r="E524" s="599"/>
      <c r="F524" s="603"/>
      <c r="G524" s="599"/>
      <c r="H524" s="600"/>
      <c r="I524" s="601"/>
      <c r="J524" s="601"/>
      <c r="K524" s="598"/>
      <c r="L524" s="598" t="s">
        <v>499</v>
      </c>
      <c r="M524" s="602">
        <v>0.5</v>
      </c>
      <c r="N524" s="602"/>
      <c r="O524" s="600">
        <f>ROUND(H522*M524,0)</f>
        <v>1</v>
      </c>
      <c r="P524" s="600">
        <f>O523-O524</f>
        <v>0</v>
      </c>
      <c r="Q524" s="598"/>
      <c r="R524" s="598"/>
      <c r="S524" s="598"/>
      <c r="T524" s="600"/>
      <c r="U524" s="600">
        <f>ROUND(T522*M524,0)</f>
        <v>0</v>
      </c>
      <c r="V524" s="598"/>
    </row>
    <row r="525" spans="1:22" s="604" customFormat="1" x14ac:dyDescent="0.45">
      <c r="A525" s="598"/>
      <c r="B525" s="598"/>
      <c r="C525" s="598"/>
      <c r="D525" s="598"/>
      <c r="E525" s="599"/>
      <c r="F525" s="603"/>
      <c r="G525" s="599"/>
      <c r="H525" s="600"/>
      <c r="I525" s="601"/>
      <c r="J525" s="601"/>
      <c r="K525" s="598"/>
      <c r="L525" s="598" t="s">
        <v>495</v>
      </c>
      <c r="M525" s="602">
        <v>0</v>
      </c>
      <c r="N525" s="602"/>
      <c r="O525" s="600">
        <f>ROUND(H522*M525,0)</f>
        <v>0</v>
      </c>
      <c r="P525" s="600">
        <f>O523-O525</f>
        <v>1</v>
      </c>
      <c r="Q525" s="598"/>
      <c r="R525" s="598"/>
      <c r="S525" s="598"/>
      <c r="T525" s="600"/>
      <c r="U525" s="600">
        <f>ROUND(T522*M525,0)</f>
        <v>0</v>
      </c>
      <c r="V525" s="598"/>
    </row>
    <row r="526" spans="1:22" s="604" customFormat="1" x14ac:dyDescent="0.45">
      <c r="A526" s="598"/>
      <c r="B526" s="598"/>
      <c r="C526" s="598"/>
      <c r="D526" s="598"/>
      <c r="E526" s="599"/>
      <c r="F526" s="603"/>
      <c r="G526" s="599"/>
      <c r="H526" s="600"/>
      <c r="I526" s="601"/>
      <c r="J526" s="601"/>
      <c r="K526" s="598"/>
      <c r="L526" s="598"/>
      <c r="M526" s="602"/>
      <c r="N526" s="602"/>
      <c r="O526" s="602"/>
      <c r="P526" s="602"/>
      <c r="Q526" s="598"/>
      <c r="R526" s="598"/>
      <c r="S526" s="598"/>
      <c r="T526" s="600"/>
      <c r="U526" s="598"/>
      <c r="V526" s="598"/>
    </row>
    <row r="527" spans="1:22" s="604" customFormat="1" ht="256.5" x14ac:dyDescent="0.45">
      <c r="A527" s="598"/>
      <c r="B527" s="598" t="s">
        <v>740</v>
      </c>
      <c r="C527" s="598" t="s">
        <v>589</v>
      </c>
      <c r="D527" s="598" t="s">
        <v>718</v>
      </c>
      <c r="E527" s="599">
        <f>DGNBvægtning!I33</f>
        <v>1.6666666666666668E-3</v>
      </c>
      <c r="F527" s="600">
        <f>$F$461*G527</f>
        <v>0.28541882109617384</v>
      </c>
      <c r="G527" s="599">
        <f>E527/$E$461</f>
        <v>1.4270941054808693E-2</v>
      </c>
      <c r="H527" s="600">
        <v>1</v>
      </c>
      <c r="I527" s="601" t="s">
        <v>492</v>
      </c>
      <c r="J527" s="601"/>
      <c r="K527" s="598" t="s">
        <v>1059</v>
      </c>
      <c r="L527" s="598"/>
      <c r="M527" s="602"/>
      <c r="N527" s="603">
        <f>IF('Sortering af spørgsmål'!$C$31=Projektforudsætninger!$C$20,'Dialogpart 1'!$J$162,IF('Sortering af spørgsmål'!$C$31=Projektforudsætninger!$C$21,'Dialogpart 2'!$J$161,IF('Sortering af spørgsmål'!$C$31=Projektforudsætninger!$C$22,'Dialogpart 3'!$J$161,IF('Sortering af spørgsmål'!$C$31=Projektforudsætninger!$C$23,'Dialogpart 4'!$J$161,IF('Sortering af spørgsmål'!$C$31=Projektforudsætninger!$C$24,'Dialogpart 5'!$J$161,IF('Sortering af spørgsmål'!$C$31=Projektforudsætninger!$C$25,'Dialogpart 6'!$J$161,IF('Sortering af spørgsmål'!$C$31=Projektforudsætninger!$C$22,'Dialogpart 7'!$J$161,IF('Sortering af spørgsmål'!$C$31=Projektforudsætninger!$C$23,#REF!,IF('Sortering af spørgsmål'!$C$31=Projektforudsætninger!$C$24,#REF!,IF('Sortering af spørgsmål'!$C$31=Projektforudsætninger!$C$25,#REF!,0))))))))))</f>
        <v>0</v>
      </c>
      <c r="O527" s="603"/>
      <c r="P527" s="603"/>
      <c r="Q527" s="598"/>
      <c r="R527" s="599">
        <f>'Sortering af spørgsmål'!$E$31*(Arbejdsark!E527/SUM($E$517:$E$542))</f>
        <v>8.333333333333335E-3</v>
      </c>
      <c r="S527" s="599">
        <f>R527/$R$461</f>
        <v>2.3809523809523798E-2</v>
      </c>
      <c r="T527" s="600">
        <f>$T$461*S527</f>
        <v>0.71428571428571397</v>
      </c>
      <c r="U527" s="598"/>
      <c r="V527" s="598"/>
    </row>
    <row r="528" spans="1:22" s="604" customFormat="1" x14ac:dyDescent="0.45">
      <c r="A528" s="598"/>
      <c r="B528" s="598"/>
      <c r="C528" s="598"/>
      <c r="D528" s="598"/>
      <c r="E528" s="599"/>
      <c r="F528" s="603"/>
      <c r="G528" s="599"/>
      <c r="H528" s="600"/>
      <c r="I528" s="601"/>
      <c r="J528" s="601"/>
      <c r="K528" s="598"/>
      <c r="L528" s="598" t="s">
        <v>498</v>
      </c>
      <c r="M528" s="602">
        <v>1</v>
      </c>
      <c r="N528" s="602"/>
      <c r="O528" s="600">
        <f>ROUND(H527*M528,0)</f>
        <v>1</v>
      </c>
      <c r="P528" s="600">
        <f>O528-O528</f>
        <v>0</v>
      </c>
      <c r="Q528" s="598"/>
      <c r="R528" s="598"/>
      <c r="S528" s="598"/>
      <c r="T528" s="600"/>
      <c r="U528" s="600">
        <f>ROUND(T527*M528,0)</f>
        <v>1</v>
      </c>
      <c r="V528" s="598"/>
    </row>
    <row r="529" spans="1:22" s="604" customFormat="1" x14ac:dyDescent="0.45">
      <c r="A529" s="598"/>
      <c r="B529" s="598"/>
      <c r="C529" s="598"/>
      <c r="D529" s="598"/>
      <c r="E529" s="599"/>
      <c r="F529" s="603"/>
      <c r="G529" s="599"/>
      <c r="H529" s="600"/>
      <c r="I529" s="601"/>
      <c r="J529" s="601"/>
      <c r="K529" s="598"/>
      <c r="L529" s="598" t="s">
        <v>499</v>
      </c>
      <c r="M529" s="602">
        <v>0.5</v>
      </c>
      <c r="N529" s="602"/>
      <c r="O529" s="600">
        <f>ROUND(H527*M529,0)</f>
        <v>1</v>
      </c>
      <c r="P529" s="600">
        <f>O528-O529</f>
        <v>0</v>
      </c>
      <c r="Q529" s="598"/>
      <c r="R529" s="598"/>
      <c r="S529" s="598"/>
      <c r="T529" s="600"/>
      <c r="U529" s="600">
        <f>ROUND(T527*M529,0)</f>
        <v>0</v>
      </c>
      <c r="V529" s="598"/>
    </row>
    <row r="530" spans="1:22" s="604" customFormat="1" x14ac:dyDescent="0.45">
      <c r="A530" s="598"/>
      <c r="B530" s="598"/>
      <c r="C530" s="598"/>
      <c r="D530" s="598"/>
      <c r="E530" s="599"/>
      <c r="F530" s="603"/>
      <c r="G530" s="599"/>
      <c r="H530" s="600"/>
      <c r="I530" s="601"/>
      <c r="J530" s="601"/>
      <c r="K530" s="598"/>
      <c r="L530" s="598" t="s">
        <v>495</v>
      </c>
      <c r="M530" s="602">
        <v>0</v>
      </c>
      <c r="N530" s="602"/>
      <c r="O530" s="600">
        <f>ROUND(H527*M530,0)</f>
        <v>0</v>
      </c>
      <c r="P530" s="600">
        <f>O528-O530</f>
        <v>1</v>
      </c>
      <c r="Q530" s="598"/>
      <c r="R530" s="598"/>
      <c r="S530" s="598"/>
      <c r="T530" s="600"/>
      <c r="U530" s="600">
        <f>ROUND(T527*M530,0)</f>
        <v>0</v>
      </c>
      <c r="V530" s="598"/>
    </row>
    <row r="531" spans="1:22" s="604" customFormat="1" x14ac:dyDescent="0.45">
      <c r="A531" s="598"/>
      <c r="B531" s="598"/>
      <c r="C531" s="598"/>
      <c r="D531" s="598"/>
      <c r="E531" s="599"/>
      <c r="F531" s="603"/>
      <c r="G531" s="599"/>
      <c r="H531" s="600"/>
      <c r="I531" s="601"/>
      <c r="J531" s="601"/>
      <c r="K531" s="598"/>
      <c r="L531" s="598"/>
      <c r="M531" s="602"/>
      <c r="N531" s="602"/>
      <c r="O531" s="602"/>
      <c r="P531" s="602"/>
      <c r="Q531" s="598"/>
      <c r="R531" s="598"/>
      <c r="S531" s="598"/>
      <c r="T531" s="600"/>
      <c r="U531" s="598"/>
      <c r="V531" s="598"/>
    </row>
    <row r="532" spans="1:22" s="604" customFormat="1" ht="256.5" x14ac:dyDescent="0.45">
      <c r="A532" s="598"/>
      <c r="B532" s="598" t="s">
        <v>758</v>
      </c>
      <c r="C532" s="598" t="s">
        <v>590</v>
      </c>
      <c r="D532" s="598" t="s">
        <v>719</v>
      </c>
      <c r="E532" s="599">
        <f>DGNBvægtning!I34</f>
        <v>1.6666666666666668E-3</v>
      </c>
      <c r="F532" s="600">
        <f>$F$461*G532</f>
        <v>0.28541882109617384</v>
      </c>
      <c r="G532" s="599">
        <f>E532/$E$461</f>
        <v>1.4270941054808693E-2</v>
      </c>
      <c r="H532" s="600">
        <v>1</v>
      </c>
      <c r="I532" s="601" t="s">
        <v>492</v>
      </c>
      <c r="J532" s="601"/>
      <c r="K532" s="598" t="s">
        <v>1060</v>
      </c>
      <c r="L532" s="744"/>
      <c r="M532" s="602"/>
      <c r="N532" s="603">
        <f>IF('Sortering af spørgsmål'!$C$31=Projektforudsætninger!$C$20,'Dialogpart 1'!$J$163,IF('Sortering af spørgsmål'!$C$31=Projektforudsætninger!$C$21,'Dialogpart 2'!$J$162,IF('Sortering af spørgsmål'!$C$31=Projektforudsætninger!$C$22,'Dialogpart 3'!$J$162,IF('Sortering af spørgsmål'!$C$31=Projektforudsætninger!$C$23,'Dialogpart 4'!$J$162,IF('Sortering af spørgsmål'!$C$31=Projektforudsætninger!$C$24,'Dialogpart 5'!$J$162,IF('Sortering af spørgsmål'!$C$31=Projektforudsætninger!$C$25,'Dialogpart 6'!$J$162,IF('Sortering af spørgsmål'!$C$31=Projektforudsætninger!$C$22,'Dialogpart 7'!$J$162,IF('Sortering af spørgsmål'!$C$31=Projektforudsætninger!$C$23,#REF!,IF('Sortering af spørgsmål'!$C$31=Projektforudsætninger!$C$24,#REF!,IF('Sortering af spørgsmål'!$C$31=Projektforudsætninger!$C$25,#REF!,0))))))))))</f>
        <v>0</v>
      </c>
      <c r="O532" s="603"/>
      <c r="P532" s="603"/>
      <c r="Q532" s="598"/>
      <c r="R532" s="599">
        <f>'Sortering af spørgsmål'!$E$31*(Arbejdsark!E532/SUM($E$517:$E$542))</f>
        <v>8.333333333333335E-3</v>
      </c>
      <c r="S532" s="599">
        <f>R532/$R$461</f>
        <v>2.3809523809523798E-2</v>
      </c>
      <c r="T532" s="600">
        <f>$T$461*S532</f>
        <v>0.71428571428571397</v>
      </c>
      <c r="U532" s="598"/>
      <c r="V532" s="598"/>
    </row>
    <row r="533" spans="1:22" s="604" customFormat="1" ht="42.75" x14ac:dyDescent="0.45">
      <c r="A533" s="598"/>
      <c r="B533" s="598"/>
      <c r="C533" s="598"/>
      <c r="D533" s="598"/>
      <c r="E533" s="599"/>
      <c r="F533" s="603"/>
      <c r="G533" s="599"/>
      <c r="H533" s="600"/>
      <c r="I533" s="601"/>
      <c r="J533" s="601"/>
      <c r="K533" s="598" t="s">
        <v>665</v>
      </c>
      <c r="L533" s="598" t="s">
        <v>498</v>
      </c>
      <c r="M533" s="602">
        <v>1</v>
      </c>
      <c r="N533" s="602"/>
      <c r="O533" s="600">
        <f>ROUND(H532*M533,0)</f>
        <v>1</v>
      </c>
      <c r="P533" s="600">
        <f>O533-O533</f>
        <v>0</v>
      </c>
      <c r="Q533" s="598"/>
      <c r="R533" s="598"/>
      <c r="S533" s="598"/>
      <c r="T533" s="600"/>
      <c r="U533" s="600">
        <f>ROUND(T532*M533,0)</f>
        <v>1</v>
      </c>
      <c r="V533" s="598"/>
    </row>
    <row r="534" spans="1:22" s="604" customFormat="1" x14ac:dyDescent="0.45">
      <c r="A534" s="598"/>
      <c r="B534" s="598"/>
      <c r="C534" s="598"/>
      <c r="D534" s="598"/>
      <c r="E534" s="599"/>
      <c r="F534" s="603"/>
      <c r="G534" s="599"/>
      <c r="H534" s="600"/>
      <c r="I534" s="601"/>
      <c r="J534" s="601"/>
      <c r="K534" s="598"/>
      <c r="L534" s="598" t="s">
        <v>499</v>
      </c>
      <c r="M534" s="602">
        <v>0.5</v>
      </c>
      <c r="N534" s="602"/>
      <c r="O534" s="600">
        <f>ROUND(H532*M534,0)</f>
        <v>1</v>
      </c>
      <c r="P534" s="600">
        <f>O533-O534</f>
        <v>0</v>
      </c>
      <c r="Q534" s="598"/>
      <c r="R534" s="598"/>
      <c r="S534" s="598"/>
      <c r="T534" s="600"/>
      <c r="U534" s="600">
        <f>ROUND(T532*M534,0)</f>
        <v>0</v>
      </c>
      <c r="V534" s="598"/>
    </row>
    <row r="535" spans="1:22" s="604" customFormat="1" x14ac:dyDescent="0.45">
      <c r="A535" s="598"/>
      <c r="B535" s="598"/>
      <c r="C535" s="598"/>
      <c r="D535" s="598"/>
      <c r="E535" s="599"/>
      <c r="F535" s="603"/>
      <c r="G535" s="599"/>
      <c r="H535" s="600"/>
      <c r="I535" s="601"/>
      <c r="J535" s="601"/>
      <c r="K535" s="598"/>
      <c r="L535" s="598" t="s">
        <v>495</v>
      </c>
      <c r="M535" s="602">
        <v>0</v>
      </c>
      <c r="N535" s="602"/>
      <c r="O535" s="600">
        <f>ROUND(H532*M535,0)</f>
        <v>0</v>
      </c>
      <c r="P535" s="600">
        <f>O533-O535</f>
        <v>1</v>
      </c>
      <c r="Q535" s="598"/>
      <c r="R535" s="598"/>
      <c r="S535" s="598"/>
      <c r="T535" s="600"/>
      <c r="U535" s="600">
        <f>ROUND(T532*M535,0)</f>
        <v>0</v>
      </c>
      <c r="V535" s="598"/>
    </row>
    <row r="536" spans="1:22" s="604" customFormat="1" x14ac:dyDescent="0.45">
      <c r="A536" s="598"/>
      <c r="B536" s="598"/>
      <c r="C536" s="598"/>
      <c r="D536" s="598"/>
      <c r="E536" s="599"/>
      <c r="F536" s="603"/>
      <c r="G536" s="599"/>
      <c r="H536" s="600"/>
      <c r="I536" s="601"/>
      <c r="J536" s="601"/>
      <c r="K536" s="598"/>
      <c r="L536" s="598"/>
      <c r="M536" s="602"/>
      <c r="N536" s="602"/>
      <c r="O536" s="602"/>
      <c r="P536" s="602"/>
      <c r="Q536" s="598"/>
      <c r="R536" s="598"/>
      <c r="S536" s="598"/>
      <c r="T536" s="600"/>
      <c r="U536" s="598"/>
      <c r="V536" s="598"/>
    </row>
    <row r="537" spans="1:22" s="604" customFormat="1" ht="256.5" x14ac:dyDescent="0.45">
      <c r="A537" s="598"/>
      <c r="B537" s="598" t="s">
        <v>759</v>
      </c>
      <c r="C537" s="598" t="s">
        <v>500</v>
      </c>
      <c r="D537" s="598" t="s">
        <v>720</v>
      </c>
      <c r="E537" s="599">
        <f>DGNBvægtning!I35</f>
        <v>1.6666666666666668E-3</v>
      </c>
      <c r="F537" s="600">
        <f>$F$461*G537</f>
        <v>0.28541882109617384</v>
      </c>
      <c r="G537" s="599">
        <f>E537/$E$461</f>
        <v>1.4270941054808693E-2</v>
      </c>
      <c r="H537" s="600">
        <v>1</v>
      </c>
      <c r="I537" s="601" t="s">
        <v>492</v>
      </c>
      <c r="J537" s="601"/>
      <c r="K537" s="598" t="s">
        <v>1061</v>
      </c>
      <c r="L537" s="598"/>
      <c r="M537" s="602"/>
      <c r="N537" s="603">
        <f>IF('Sortering af spørgsmål'!$C$31=Projektforudsætninger!$C$20,'Dialogpart 1'!$J$164,IF('Sortering af spørgsmål'!$C$31=Projektforudsætninger!$C$21,'Dialogpart 2'!$J$163,IF('Sortering af spørgsmål'!$C$31=Projektforudsætninger!$C$22,'Dialogpart 3'!$J$163,IF('Sortering af spørgsmål'!$C$31=Projektforudsætninger!$C$23,'Dialogpart 4'!$J$163,IF('Sortering af spørgsmål'!$C$31=Projektforudsætninger!$C$24,'Dialogpart 5'!$J$163,IF('Sortering af spørgsmål'!$C$31=Projektforudsætninger!$C$25,'Dialogpart 6'!$J$163,IF('Sortering af spørgsmål'!$C$31=Projektforudsætninger!$C$22,'Dialogpart 7'!$J$163,IF('Sortering af spørgsmål'!$C$31=Projektforudsætninger!$C$23,#REF!,IF('Sortering af spørgsmål'!$C$31=Projektforudsætninger!$C$24,#REF!,IF('Sortering af spørgsmål'!$C$31=Projektforudsætninger!$C$25,#REF!,0))))))))))</f>
        <v>0</v>
      </c>
      <c r="O537" s="603"/>
      <c r="P537" s="603"/>
      <c r="Q537" s="598"/>
      <c r="R537" s="599">
        <f>'Sortering af spørgsmål'!$E$31*(Arbejdsark!E537/SUM($E$517:$E$542))</f>
        <v>8.333333333333335E-3</v>
      </c>
      <c r="S537" s="599">
        <f>R537/$R$461</f>
        <v>2.3809523809523798E-2</v>
      </c>
      <c r="T537" s="600">
        <f>$T$461*S537</f>
        <v>0.71428571428571397</v>
      </c>
      <c r="U537" s="598"/>
      <c r="V537" s="598"/>
    </row>
    <row r="538" spans="1:22" s="604" customFormat="1" x14ac:dyDescent="0.45">
      <c r="A538" s="598"/>
      <c r="B538" s="598"/>
      <c r="C538" s="598"/>
      <c r="D538" s="598"/>
      <c r="E538" s="599"/>
      <c r="F538" s="603"/>
      <c r="G538" s="599"/>
      <c r="H538" s="600"/>
      <c r="I538" s="601"/>
      <c r="J538" s="601"/>
      <c r="K538" s="598"/>
      <c r="L538" s="598" t="s">
        <v>498</v>
      </c>
      <c r="M538" s="602">
        <v>1</v>
      </c>
      <c r="N538" s="602"/>
      <c r="O538" s="600">
        <f>ROUND(H537*M538,0)</f>
        <v>1</v>
      </c>
      <c r="P538" s="600">
        <f>O538-O538</f>
        <v>0</v>
      </c>
      <c r="Q538" s="598"/>
      <c r="R538" s="598"/>
      <c r="S538" s="598"/>
      <c r="T538" s="600"/>
      <c r="U538" s="600">
        <f>ROUND(T537*M538,0)</f>
        <v>1</v>
      </c>
      <c r="V538" s="598"/>
    </row>
    <row r="539" spans="1:22" s="604" customFormat="1" x14ac:dyDescent="0.45">
      <c r="A539" s="598"/>
      <c r="B539" s="598"/>
      <c r="C539" s="598"/>
      <c r="D539" s="598"/>
      <c r="E539" s="599"/>
      <c r="F539" s="603"/>
      <c r="G539" s="599"/>
      <c r="H539" s="600"/>
      <c r="I539" s="601"/>
      <c r="J539" s="601"/>
      <c r="K539" s="598"/>
      <c r="L539" s="598" t="s">
        <v>499</v>
      </c>
      <c r="M539" s="602">
        <v>0.5</v>
      </c>
      <c r="N539" s="602"/>
      <c r="O539" s="600">
        <f>ROUND(H537*M539,0)</f>
        <v>1</v>
      </c>
      <c r="P539" s="600">
        <f>O538-O539</f>
        <v>0</v>
      </c>
      <c r="Q539" s="598"/>
      <c r="R539" s="598"/>
      <c r="S539" s="598"/>
      <c r="T539" s="600"/>
      <c r="U539" s="600">
        <f>ROUND(T537*M539,0)</f>
        <v>0</v>
      </c>
      <c r="V539" s="598"/>
    </row>
    <row r="540" spans="1:22" s="604" customFormat="1" x14ac:dyDescent="0.45">
      <c r="A540" s="598"/>
      <c r="B540" s="598"/>
      <c r="C540" s="598"/>
      <c r="D540" s="598"/>
      <c r="E540" s="599"/>
      <c r="F540" s="603"/>
      <c r="G540" s="599"/>
      <c r="H540" s="600"/>
      <c r="I540" s="601"/>
      <c r="J540" s="601"/>
      <c r="K540" s="598"/>
      <c r="L540" s="598" t="s">
        <v>495</v>
      </c>
      <c r="M540" s="602">
        <v>0</v>
      </c>
      <c r="N540" s="602"/>
      <c r="O540" s="600">
        <f>ROUND(H537*M540,0)</f>
        <v>0</v>
      </c>
      <c r="P540" s="600">
        <f>O538-O540</f>
        <v>1</v>
      </c>
      <c r="Q540" s="598"/>
      <c r="R540" s="598"/>
      <c r="S540" s="598"/>
      <c r="T540" s="600"/>
      <c r="U540" s="600">
        <f>ROUND(T537*M540,0)</f>
        <v>0</v>
      </c>
      <c r="V540" s="598"/>
    </row>
    <row r="541" spans="1:22" s="604" customFormat="1" x14ac:dyDescent="0.45">
      <c r="A541" s="598"/>
      <c r="B541" s="598"/>
      <c r="C541" s="598"/>
      <c r="D541" s="598"/>
      <c r="E541" s="599"/>
      <c r="F541" s="603"/>
      <c r="G541" s="599"/>
      <c r="H541" s="600"/>
      <c r="I541" s="601"/>
      <c r="J541" s="601"/>
      <c r="K541" s="598"/>
      <c r="L541" s="598"/>
      <c r="M541" s="602"/>
      <c r="N541" s="602"/>
      <c r="O541" s="602"/>
      <c r="P541" s="602"/>
      <c r="Q541" s="598"/>
      <c r="R541" s="598"/>
      <c r="S541" s="598"/>
      <c r="T541" s="600"/>
      <c r="U541" s="598"/>
      <c r="V541" s="598"/>
    </row>
    <row r="542" spans="1:22" s="604" customFormat="1" ht="256.5" x14ac:dyDescent="0.45">
      <c r="A542" s="598"/>
      <c r="B542" s="598" t="s">
        <v>760</v>
      </c>
      <c r="C542" s="598" t="s">
        <v>591</v>
      </c>
      <c r="D542" s="598" t="s">
        <v>721</v>
      </c>
      <c r="E542" s="599">
        <f>DGNBvægtning!I36</f>
        <v>1.6666666666666668E-3</v>
      </c>
      <c r="F542" s="600">
        <f>$F$461*G542</f>
        <v>0.28541882109617384</v>
      </c>
      <c r="G542" s="599">
        <f>E542/$E$461</f>
        <v>1.4270941054808693E-2</v>
      </c>
      <c r="H542" s="600">
        <v>1</v>
      </c>
      <c r="I542" s="601" t="s">
        <v>492</v>
      </c>
      <c r="J542" s="601"/>
      <c r="K542" s="598" t="s">
        <v>1062</v>
      </c>
      <c r="L542" s="598"/>
      <c r="M542" s="602"/>
      <c r="N542" s="603">
        <f>IF('Sortering af spørgsmål'!$C$31=Projektforudsætninger!$C$20,'Dialogpart 1'!$J$165,IF('Sortering af spørgsmål'!$C$31=Projektforudsætninger!$C$21,'Dialogpart 2'!$J$164,IF('Sortering af spørgsmål'!$C$31=Projektforudsætninger!$C$22,'Dialogpart 3'!$J$164,IF('Sortering af spørgsmål'!$C$31=Projektforudsætninger!$C$23,'Dialogpart 4'!$J$164,IF('Sortering af spørgsmål'!$C$31=Projektforudsætninger!$C$24,'Dialogpart 5'!$J$164,IF('Sortering af spørgsmål'!$C$31=Projektforudsætninger!$C$25,'Dialogpart 6'!$J$164,IF('Sortering af spørgsmål'!$C$31=Projektforudsætninger!$C$22,'Dialogpart 7'!$J$164,IF('Sortering af spørgsmål'!$C$31=Projektforudsætninger!$C$23,#REF!,IF('Sortering af spørgsmål'!$C$31=Projektforudsætninger!$C$24,#REF!,IF('Sortering af spørgsmål'!$C$31=Projektforudsætninger!$C$25,#REF!,0))))))))))</f>
        <v>0</v>
      </c>
      <c r="O542" s="603"/>
      <c r="P542" s="603"/>
      <c r="Q542" s="598"/>
      <c r="R542" s="599">
        <f>'Sortering af spørgsmål'!$E$31*(Arbejdsark!E542/SUM($E$517:$E$542))</f>
        <v>8.333333333333335E-3</v>
      </c>
      <c r="S542" s="599">
        <f>R542/$R$461</f>
        <v>2.3809523809523798E-2</v>
      </c>
      <c r="T542" s="600">
        <f>$T$461*S542</f>
        <v>0.71428571428571397</v>
      </c>
      <c r="U542" s="598"/>
      <c r="V542" s="598"/>
    </row>
    <row r="543" spans="1:22" s="604" customFormat="1" x14ac:dyDescent="0.45">
      <c r="A543" s="598"/>
      <c r="B543" s="598"/>
      <c r="C543" s="598"/>
      <c r="D543" s="598"/>
      <c r="E543" s="599"/>
      <c r="F543" s="603"/>
      <c r="G543" s="599"/>
      <c r="H543" s="600"/>
      <c r="I543" s="601"/>
      <c r="J543" s="601"/>
      <c r="K543" s="598"/>
      <c r="L543" s="598" t="s">
        <v>498</v>
      </c>
      <c r="M543" s="602">
        <v>1</v>
      </c>
      <c r="N543" s="602"/>
      <c r="O543" s="600">
        <f>ROUND(H542*M543,0)</f>
        <v>1</v>
      </c>
      <c r="P543" s="600">
        <f>O543-O543</f>
        <v>0</v>
      </c>
      <c r="Q543" s="598"/>
      <c r="R543" s="598"/>
      <c r="S543" s="598"/>
      <c r="T543" s="600"/>
      <c r="U543" s="600">
        <f>ROUND(T542*M543,0)</f>
        <v>1</v>
      </c>
      <c r="V543" s="598"/>
    </row>
    <row r="544" spans="1:22" s="604" customFormat="1" x14ac:dyDescent="0.45">
      <c r="A544" s="598"/>
      <c r="B544" s="598"/>
      <c r="C544" s="598"/>
      <c r="D544" s="598"/>
      <c r="E544" s="599"/>
      <c r="F544" s="603"/>
      <c r="G544" s="599"/>
      <c r="H544" s="600"/>
      <c r="I544" s="601"/>
      <c r="J544" s="601"/>
      <c r="K544" s="598"/>
      <c r="L544" s="598" t="s">
        <v>499</v>
      </c>
      <c r="M544" s="602">
        <v>0.5</v>
      </c>
      <c r="N544" s="602"/>
      <c r="O544" s="600">
        <f>ROUND(H542*M544,0)</f>
        <v>1</v>
      </c>
      <c r="P544" s="600">
        <f>O543-O544</f>
        <v>0</v>
      </c>
      <c r="Q544" s="598"/>
      <c r="R544" s="598"/>
      <c r="S544" s="598"/>
      <c r="T544" s="600"/>
      <c r="U544" s="600">
        <f>ROUND(T542*M544,0)</f>
        <v>0</v>
      </c>
      <c r="V544" s="598"/>
    </row>
    <row r="545" spans="1:22" s="604" customFormat="1" x14ac:dyDescent="0.45">
      <c r="A545" s="598"/>
      <c r="B545" s="598"/>
      <c r="C545" s="598"/>
      <c r="D545" s="598"/>
      <c r="E545" s="599"/>
      <c r="F545" s="603"/>
      <c r="G545" s="599"/>
      <c r="H545" s="600"/>
      <c r="I545" s="601"/>
      <c r="J545" s="601"/>
      <c r="K545" s="598"/>
      <c r="L545" s="598" t="s">
        <v>495</v>
      </c>
      <c r="M545" s="602">
        <v>0</v>
      </c>
      <c r="N545" s="602"/>
      <c r="O545" s="600">
        <f>ROUND(H542*M545,0)</f>
        <v>0</v>
      </c>
      <c r="P545" s="600">
        <f>O543-O545</f>
        <v>1</v>
      </c>
      <c r="Q545" s="598"/>
      <c r="R545" s="598"/>
      <c r="S545" s="598"/>
      <c r="T545" s="600"/>
      <c r="U545" s="600">
        <f>ROUND(T542*M545,0)</f>
        <v>0</v>
      </c>
      <c r="V545" s="598"/>
    </row>
    <row r="546" spans="1:22" s="604" customFormat="1" ht="28.5" x14ac:dyDescent="0.45">
      <c r="A546" s="598"/>
      <c r="B546" s="598"/>
      <c r="C546" s="598"/>
      <c r="D546" s="598"/>
      <c r="E546" s="599"/>
      <c r="F546" s="603"/>
      <c r="G546" s="599"/>
      <c r="H546" s="600"/>
      <c r="I546" s="601"/>
      <c r="J546" s="601"/>
      <c r="K546" s="598"/>
      <c r="L546" s="598" t="s">
        <v>512</v>
      </c>
      <c r="M546" s="602"/>
      <c r="N546" s="602"/>
      <c r="O546" s="602"/>
      <c r="P546" s="602"/>
      <c r="Q546" s="598"/>
      <c r="R546" s="598"/>
      <c r="S546" s="598"/>
      <c r="T546" s="600"/>
      <c r="U546" s="598"/>
      <c r="V546" s="598"/>
    </row>
    <row r="547" spans="1:22" s="604" customFormat="1" x14ac:dyDescent="0.45">
      <c r="A547" s="598"/>
      <c r="B547" s="598"/>
      <c r="C547" s="598"/>
      <c r="D547" s="598"/>
      <c r="E547" s="599"/>
      <c r="F547" s="603"/>
      <c r="G547" s="599"/>
      <c r="H547" s="600"/>
      <c r="I547" s="601"/>
      <c r="J547" s="601"/>
      <c r="K547" s="598"/>
      <c r="L547" s="598"/>
      <c r="M547" s="602"/>
      <c r="N547" s="602"/>
      <c r="O547" s="602"/>
      <c r="P547" s="602"/>
      <c r="Q547" s="598"/>
      <c r="R547" s="598"/>
      <c r="S547" s="598"/>
      <c r="T547" s="600"/>
      <c r="U547" s="598"/>
      <c r="V547" s="598"/>
    </row>
    <row r="548" spans="1:22" s="604" customFormat="1" ht="270.75" x14ac:dyDescent="0.45">
      <c r="A548" s="598" t="s">
        <v>592</v>
      </c>
      <c r="B548" s="598" t="s">
        <v>276</v>
      </c>
      <c r="C548" s="598" t="s">
        <v>593</v>
      </c>
      <c r="D548" s="598" t="s">
        <v>722</v>
      </c>
      <c r="E548" s="599">
        <f>DGNBvægtning!I39</f>
        <v>7.4999999999999997E-3</v>
      </c>
      <c r="F548" s="600">
        <f>$F$461*G548</f>
        <v>1.2843846949327822</v>
      </c>
      <c r="G548" s="599">
        <f>E548/$E$461</f>
        <v>6.4219234746639112E-2</v>
      </c>
      <c r="H548" s="600">
        <v>2</v>
      </c>
      <c r="I548" s="601" t="s">
        <v>492</v>
      </c>
      <c r="J548" s="601"/>
      <c r="K548" s="598" t="s">
        <v>1063</v>
      </c>
      <c r="L548" s="598"/>
      <c r="M548" s="602"/>
      <c r="N548" s="603">
        <f>IF('Sortering af spørgsmål'!$C$32=Projektforudsætninger!$C$20,'Dialogpart 1'!$J$168,IF('Sortering af spørgsmål'!$C$32=Projektforudsætninger!$C$21,'Dialogpart 2'!$J$167,IF('Sortering af spørgsmål'!$C$32=Projektforudsætninger!$C$22,'Dialogpart 3'!$J$167,IF('Sortering af spørgsmål'!$C$32=Projektforudsætninger!$C$23,'Dialogpart 4'!$J$167,IF('Sortering af spørgsmål'!$C$32=Projektforudsætninger!$C$24,'Dialogpart 5'!$J$167,IF('Sortering af spørgsmål'!$C$32=Projektforudsætninger!$C$25,'Dialogpart 6'!$J$167,IF('Sortering af spørgsmål'!$C$32=Projektforudsætninger!$C$22,'Dialogpart 7'!$J$167,IF('Sortering af spørgsmål'!$C$32=Projektforudsætninger!$C$23,#REF!,IF('Sortering af spørgsmål'!$C$32=Projektforudsætninger!$C$24,#REF!,IF('Sortering af spørgsmål'!$C$32=Projektforudsætninger!$C$25,#REF!,0))))))))))</f>
        <v>0</v>
      </c>
      <c r="O548" s="603"/>
      <c r="P548" s="603"/>
      <c r="Q548" s="598"/>
      <c r="R548" s="599">
        <f>'Sortering af spørgsmål'!$E$32*(Arbejdsark!E548/SUM($E$548:$E$563))</f>
        <v>2.6470588235294114E-2</v>
      </c>
      <c r="S548" s="599">
        <f>R548/$R$461</f>
        <v>7.5630252100840276E-2</v>
      </c>
      <c r="T548" s="600">
        <f>$T$461*S548</f>
        <v>2.2689075630252082</v>
      </c>
      <c r="U548" s="598"/>
      <c r="V548" s="598"/>
    </row>
    <row r="549" spans="1:22" s="604" customFormat="1" x14ac:dyDescent="0.45">
      <c r="A549" s="598"/>
      <c r="B549" s="598"/>
      <c r="C549" s="598"/>
      <c r="D549" s="598"/>
      <c r="E549" s="599"/>
      <c r="F549" s="603"/>
      <c r="G549" s="599"/>
      <c r="H549" s="600"/>
      <c r="I549" s="601"/>
      <c r="J549" s="601"/>
      <c r="K549" s="598"/>
      <c r="L549" s="598" t="s">
        <v>498</v>
      </c>
      <c r="M549" s="602">
        <v>1</v>
      </c>
      <c r="N549" s="602"/>
      <c r="O549" s="600">
        <f>ROUND(H548*M549,0)</f>
        <v>2</v>
      </c>
      <c r="P549" s="600">
        <f>O549-O549</f>
        <v>0</v>
      </c>
      <c r="Q549" s="598"/>
      <c r="R549" s="598"/>
      <c r="S549" s="598"/>
      <c r="T549" s="600"/>
      <c r="U549" s="600">
        <f>ROUND(T548*M549,0)</f>
        <v>2</v>
      </c>
      <c r="V549" s="598"/>
    </row>
    <row r="550" spans="1:22" s="604" customFormat="1" x14ac:dyDescent="0.45">
      <c r="A550" s="598"/>
      <c r="B550" s="598"/>
      <c r="C550" s="598"/>
      <c r="D550" s="598"/>
      <c r="E550" s="599"/>
      <c r="F550" s="603"/>
      <c r="G550" s="599"/>
      <c r="H550" s="600"/>
      <c r="I550" s="601"/>
      <c r="J550" s="601"/>
      <c r="K550" s="598"/>
      <c r="L550" s="598" t="s">
        <v>499</v>
      </c>
      <c r="M550" s="602">
        <v>0.5</v>
      </c>
      <c r="N550" s="602"/>
      <c r="O550" s="600">
        <f>ROUND(H548*M550,0)</f>
        <v>1</v>
      </c>
      <c r="P550" s="600">
        <f>O549-O550</f>
        <v>1</v>
      </c>
      <c r="Q550" s="598"/>
      <c r="R550" s="598"/>
      <c r="S550" s="598"/>
      <c r="T550" s="600"/>
      <c r="U550" s="600">
        <f>ROUND(T548*M550,0)</f>
        <v>1</v>
      </c>
      <c r="V550" s="598"/>
    </row>
    <row r="551" spans="1:22" s="604" customFormat="1" x14ac:dyDescent="0.45">
      <c r="A551" s="598"/>
      <c r="B551" s="598"/>
      <c r="C551" s="598"/>
      <c r="D551" s="598"/>
      <c r="E551" s="599"/>
      <c r="F551" s="603"/>
      <c r="G551" s="599"/>
      <c r="H551" s="600"/>
      <c r="I551" s="601"/>
      <c r="J551" s="601"/>
      <c r="K551" s="598"/>
      <c r="L551" s="598" t="s">
        <v>495</v>
      </c>
      <c r="M551" s="602">
        <v>0</v>
      </c>
      <c r="N551" s="602"/>
      <c r="O551" s="600">
        <f>ROUND(H548*M551,0)</f>
        <v>0</v>
      </c>
      <c r="P551" s="600">
        <f>O549-O551</f>
        <v>2</v>
      </c>
      <c r="Q551" s="598"/>
      <c r="R551" s="598"/>
      <c r="S551" s="598"/>
      <c r="T551" s="600"/>
      <c r="U551" s="600">
        <f>ROUND(T548*M551,0)</f>
        <v>0</v>
      </c>
      <c r="V551" s="598"/>
    </row>
    <row r="552" spans="1:22" s="604" customFormat="1" ht="28.5" x14ac:dyDescent="0.45">
      <c r="A552" s="598"/>
      <c r="B552" s="598"/>
      <c r="C552" s="598"/>
      <c r="D552" s="598"/>
      <c r="E552" s="599"/>
      <c r="F552" s="603"/>
      <c r="G552" s="599"/>
      <c r="H552" s="600"/>
      <c r="I552" s="601"/>
      <c r="J552" s="601"/>
      <c r="K552" s="598"/>
      <c r="L552" s="598" t="s">
        <v>512</v>
      </c>
      <c r="M552" s="602"/>
      <c r="N552" s="602"/>
      <c r="O552" s="602"/>
      <c r="P552" s="602"/>
      <c r="Q552" s="598"/>
      <c r="R552" s="598"/>
      <c r="S552" s="598"/>
      <c r="T552" s="600"/>
      <c r="U552" s="598"/>
      <c r="V552" s="598"/>
    </row>
    <row r="553" spans="1:22" s="604" customFormat="1" ht="185.25" x14ac:dyDescent="0.45">
      <c r="A553" s="598"/>
      <c r="B553" s="598" t="s">
        <v>277</v>
      </c>
      <c r="C553" s="598" t="s">
        <v>594</v>
      </c>
      <c r="D553" s="598" t="s">
        <v>723</v>
      </c>
      <c r="E553" s="599">
        <f>DGNBvægtning!I41</f>
        <v>1.6666666666666668E-3</v>
      </c>
      <c r="F553" s="600">
        <f>$F$461*G553</f>
        <v>0.28541882109617384</v>
      </c>
      <c r="G553" s="599">
        <f>E553/$E$461</f>
        <v>1.4270941054808693E-2</v>
      </c>
      <c r="H553" s="600">
        <v>1</v>
      </c>
      <c r="I553" s="601" t="s">
        <v>492</v>
      </c>
      <c r="J553" s="601"/>
      <c r="K553" s="598" t="s">
        <v>1064</v>
      </c>
      <c r="L553" s="598"/>
      <c r="M553" s="602"/>
      <c r="N553" s="603">
        <f>IF('Sortering af spørgsmål'!$C$32=Projektforudsætninger!$C$20,'Dialogpart 1'!$J$169,IF('Sortering af spørgsmål'!$C$32=Projektforudsætninger!$C$21,'Dialogpart 2'!$J$168,IF('Sortering af spørgsmål'!$C$32=Projektforudsætninger!$C$22,'Dialogpart 3'!$J$168,IF('Sortering af spørgsmål'!$C$32=Projektforudsætninger!$C$23,'Dialogpart 4'!$J$168,IF('Sortering af spørgsmål'!$C$32=Projektforudsætninger!$C$24,'Dialogpart 5'!$J$168,IF('Sortering af spørgsmål'!$C$32=Projektforudsætninger!$C$25,'Dialogpart 6'!$J$168,IF('Sortering af spørgsmål'!$C$32=Projektforudsætninger!$C$22,'Dialogpart 7'!$J$168,IF('Sortering af spørgsmål'!$C$32=Projektforudsætninger!$C$23,#REF!,IF('Sortering af spørgsmål'!$C$32=Projektforudsætninger!$C$24,#REF!,IF('Sortering af spørgsmål'!$C$32=Projektforudsætninger!$C$25,#REF!,0))))))))))</f>
        <v>0</v>
      </c>
      <c r="O553" s="603"/>
      <c r="P553" s="603"/>
      <c r="Q553" s="598"/>
      <c r="R553" s="599">
        <f>'Sortering af spørgsmål'!$E$32*(Arbejdsark!E553/SUM($E$548:$E$563))</f>
        <v>5.8823529411764705E-3</v>
      </c>
      <c r="S553" s="599">
        <f>R553/$R$461</f>
        <v>1.6806722689075619E-2</v>
      </c>
      <c r="T553" s="600">
        <f>$T$461*S553</f>
        <v>0.50420168067226856</v>
      </c>
      <c r="U553" s="598"/>
      <c r="V553" s="598"/>
    </row>
    <row r="554" spans="1:22" s="604" customFormat="1" x14ac:dyDescent="0.45">
      <c r="A554" s="598"/>
      <c r="B554" s="598"/>
      <c r="C554" s="598"/>
      <c r="D554" s="598"/>
      <c r="E554" s="599"/>
      <c r="F554" s="603"/>
      <c r="G554" s="599"/>
      <c r="H554" s="600"/>
      <c r="I554" s="601"/>
      <c r="J554" s="601"/>
      <c r="K554" s="598"/>
      <c r="L554" s="598" t="s">
        <v>498</v>
      </c>
      <c r="M554" s="602">
        <v>1</v>
      </c>
      <c r="N554" s="602"/>
      <c r="O554" s="600">
        <f>ROUND(H553*M554,0)</f>
        <v>1</v>
      </c>
      <c r="P554" s="600">
        <f>O554-O554</f>
        <v>0</v>
      </c>
      <c r="Q554" s="598"/>
      <c r="R554" s="598"/>
      <c r="S554" s="598"/>
      <c r="T554" s="600"/>
      <c r="U554" s="600">
        <f>ROUND(T553*M554,0)</f>
        <v>1</v>
      </c>
      <c r="V554" s="598"/>
    </row>
    <row r="555" spans="1:22" s="604" customFormat="1" x14ac:dyDescent="0.45">
      <c r="A555" s="598"/>
      <c r="B555" s="598"/>
      <c r="C555" s="598"/>
      <c r="D555" s="598"/>
      <c r="E555" s="599"/>
      <c r="F555" s="603"/>
      <c r="G555" s="599"/>
      <c r="H555" s="600"/>
      <c r="I555" s="601"/>
      <c r="J555" s="601"/>
      <c r="K555" s="598"/>
      <c r="L555" s="598" t="s">
        <v>499</v>
      </c>
      <c r="M555" s="602">
        <v>0.5</v>
      </c>
      <c r="N555" s="602"/>
      <c r="O555" s="600">
        <f>ROUND(H553*M555,0)</f>
        <v>1</v>
      </c>
      <c r="P555" s="600">
        <f>O554-O555</f>
        <v>0</v>
      </c>
      <c r="Q555" s="598"/>
      <c r="R555" s="598"/>
      <c r="S555" s="598"/>
      <c r="T555" s="600"/>
      <c r="U555" s="600">
        <f>ROUND(T553*M555,0)</f>
        <v>0</v>
      </c>
      <c r="V555" s="598"/>
    </row>
    <row r="556" spans="1:22" s="604" customFormat="1" x14ac:dyDescent="0.45">
      <c r="A556" s="598"/>
      <c r="B556" s="598"/>
      <c r="C556" s="598"/>
      <c r="D556" s="598"/>
      <c r="E556" s="599"/>
      <c r="F556" s="603"/>
      <c r="G556" s="599"/>
      <c r="H556" s="600"/>
      <c r="I556" s="601"/>
      <c r="J556" s="601"/>
      <c r="K556" s="598"/>
      <c r="L556" s="598" t="s">
        <v>495</v>
      </c>
      <c r="M556" s="602">
        <v>0</v>
      </c>
      <c r="N556" s="602"/>
      <c r="O556" s="600">
        <f>ROUND(H553*M556,0)</f>
        <v>0</v>
      </c>
      <c r="P556" s="600">
        <f>O554-O556</f>
        <v>1</v>
      </c>
      <c r="Q556" s="598"/>
      <c r="R556" s="598"/>
      <c r="S556" s="598"/>
      <c r="T556" s="600"/>
      <c r="U556" s="600">
        <f>ROUND(T553*M556,0)</f>
        <v>0</v>
      </c>
      <c r="V556" s="598"/>
    </row>
    <row r="557" spans="1:22" s="604" customFormat="1" x14ac:dyDescent="0.45">
      <c r="A557" s="598"/>
      <c r="B557" s="598"/>
      <c r="C557" s="598"/>
      <c r="D557" s="598"/>
      <c r="E557" s="599"/>
      <c r="F557" s="603"/>
      <c r="G557" s="599"/>
      <c r="H557" s="600"/>
      <c r="I557" s="601"/>
      <c r="J557" s="601"/>
      <c r="K557" s="598"/>
      <c r="L557" s="598"/>
      <c r="M557" s="602"/>
      <c r="N557" s="602"/>
      <c r="O557" s="602"/>
      <c r="P557" s="602"/>
      <c r="Q557" s="598"/>
      <c r="R557" s="598"/>
      <c r="S557" s="598"/>
      <c r="T557" s="600"/>
      <c r="U557" s="598"/>
      <c r="V557" s="598"/>
    </row>
    <row r="558" spans="1:22" s="604" customFormat="1" ht="242.25" x14ac:dyDescent="0.45">
      <c r="A558" s="598"/>
      <c r="B558" s="598" t="s">
        <v>278</v>
      </c>
      <c r="C558" s="598" t="s">
        <v>566</v>
      </c>
      <c r="D558" s="598" t="s">
        <v>918</v>
      </c>
      <c r="E558" s="599">
        <f>DGNBvægtning!I42</f>
        <v>2.5000000000000001E-3</v>
      </c>
      <c r="F558" s="600">
        <f>$F$461*G558</f>
        <v>0.42812823164426078</v>
      </c>
      <c r="G558" s="599">
        <f>E558/$E$461</f>
        <v>2.1406411582213038E-2</v>
      </c>
      <c r="H558" s="600">
        <v>1</v>
      </c>
      <c r="I558" s="601" t="s">
        <v>492</v>
      </c>
      <c r="J558" s="601"/>
      <c r="K558" s="598" t="s">
        <v>1065</v>
      </c>
      <c r="L558" s="744"/>
      <c r="M558" s="602"/>
      <c r="N558" s="603">
        <f>IF('Sortering af spørgsmål'!$C$32=Projektforudsætninger!$C$20,'Dialogpart 1'!$J$170,IF('Sortering af spørgsmål'!$C$32=Projektforudsætninger!$C$21,'Dialogpart 2'!$J$169,IF('Sortering af spørgsmål'!$C$32=Projektforudsætninger!$C$22,'Dialogpart 3'!$J$169,IF('Sortering af spørgsmål'!$C$32=Projektforudsætninger!$C$23,'Dialogpart 4'!$J$169,IF('Sortering af spørgsmål'!$C$32=Projektforudsætninger!$C$24,'Dialogpart 5'!$J$169,IF('Sortering af spørgsmål'!$C$32=Projektforudsætninger!$C$25,'Dialogpart 6'!$J$169,IF('Sortering af spørgsmål'!$C$32=Projektforudsætninger!$C$22,'Dialogpart 7'!$J$169,IF('Sortering af spørgsmål'!$C$32=Projektforudsætninger!$C$23,#REF!,IF('Sortering af spørgsmål'!$C$32=Projektforudsætninger!$C$24,#REF!,IF('Sortering af spørgsmål'!$C$32=Projektforudsætninger!$C$25,#REF!,0))))))))))</f>
        <v>0</v>
      </c>
      <c r="O558" s="603"/>
      <c r="P558" s="603"/>
      <c r="Q558" s="598"/>
      <c r="R558" s="599">
        <f>'Sortering af spørgsmål'!$E$32*(Arbejdsark!E558/SUM($E$548:$E$563))</f>
        <v>8.8235294117647058E-3</v>
      </c>
      <c r="S558" s="599">
        <f>R558/$R$461</f>
        <v>2.5210084033613425E-2</v>
      </c>
      <c r="T558" s="600">
        <f>$T$461*S558</f>
        <v>0.75630252100840278</v>
      </c>
      <c r="U558" s="598"/>
      <c r="V558" s="598"/>
    </row>
    <row r="559" spans="1:22" s="604" customFormat="1" x14ac:dyDescent="0.45">
      <c r="A559" s="598"/>
      <c r="B559" s="598"/>
      <c r="C559" s="598"/>
      <c r="D559" s="598"/>
      <c r="E559" s="599"/>
      <c r="F559" s="603"/>
      <c r="G559" s="599"/>
      <c r="H559" s="600"/>
      <c r="I559" s="601"/>
      <c r="J559" s="601"/>
      <c r="K559" s="598"/>
      <c r="L559" s="598" t="s">
        <v>498</v>
      </c>
      <c r="M559" s="602">
        <v>1</v>
      </c>
      <c r="N559" s="602"/>
      <c r="O559" s="600">
        <f>ROUND(H558*M559,0)</f>
        <v>1</v>
      </c>
      <c r="P559" s="600">
        <f>O559-O559</f>
        <v>0</v>
      </c>
      <c r="Q559" s="598"/>
      <c r="R559" s="598"/>
      <c r="S559" s="598"/>
      <c r="T559" s="600"/>
      <c r="U559" s="600">
        <f>ROUND(T558*M559,0)</f>
        <v>1</v>
      </c>
      <c r="V559" s="598"/>
    </row>
    <row r="560" spans="1:22" s="604" customFormat="1" x14ac:dyDescent="0.45">
      <c r="A560" s="598"/>
      <c r="B560" s="598"/>
      <c r="C560" s="598"/>
      <c r="D560" s="598"/>
      <c r="E560" s="599"/>
      <c r="F560" s="603"/>
      <c r="G560" s="599"/>
      <c r="H560" s="600"/>
      <c r="I560" s="601"/>
      <c r="J560" s="601"/>
      <c r="K560" s="598"/>
      <c r="L560" s="598" t="s">
        <v>499</v>
      </c>
      <c r="M560" s="602">
        <f>10/15</f>
        <v>0.66666666666666663</v>
      </c>
      <c r="N560" s="602"/>
      <c r="O560" s="600">
        <f>ROUND(H558*M560,0)</f>
        <v>1</v>
      </c>
      <c r="P560" s="600">
        <f>O559-O560</f>
        <v>0</v>
      </c>
      <c r="Q560" s="598"/>
      <c r="R560" s="598"/>
      <c r="S560" s="598"/>
      <c r="T560" s="600"/>
      <c r="U560" s="600">
        <f>ROUND(T558*M560,0)</f>
        <v>1</v>
      </c>
      <c r="V560" s="598"/>
    </row>
    <row r="561" spans="1:22" s="604" customFormat="1" x14ac:dyDescent="0.45">
      <c r="A561" s="598"/>
      <c r="B561" s="598"/>
      <c r="C561" s="598"/>
      <c r="D561" s="598"/>
      <c r="E561" s="599"/>
      <c r="F561" s="603"/>
      <c r="G561" s="599"/>
      <c r="H561" s="600"/>
      <c r="I561" s="601"/>
      <c r="J561" s="601"/>
      <c r="K561" s="598"/>
      <c r="L561" s="598" t="s">
        <v>495</v>
      </c>
      <c r="M561" s="602">
        <v>0</v>
      </c>
      <c r="N561" s="602"/>
      <c r="O561" s="600">
        <f>ROUND(H558*M561,0)</f>
        <v>0</v>
      </c>
      <c r="P561" s="600">
        <f>O559-O561</f>
        <v>1</v>
      </c>
      <c r="Q561" s="598"/>
      <c r="R561" s="598"/>
      <c r="S561" s="598"/>
      <c r="T561" s="600"/>
      <c r="U561" s="600">
        <f>ROUND(T558*M561,0)</f>
        <v>0</v>
      </c>
      <c r="V561" s="598"/>
    </row>
    <row r="562" spans="1:22" s="604" customFormat="1" ht="28.5" x14ac:dyDescent="0.45">
      <c r="A562" s="598"/>
      <c r="B562" s="598"/>
      <c r="C562" s="598"/>
      <c r="D562" s="598"/>
      <c r="E562" s="599"/>
      <c r="F562" s="603"/>
      <c r="G562" s="599"/>
      <c r="H562" s="600"/>
      <c r="I562" s="601"/>
      <c r="J562" s="601"/>
      <c r="K562" s="598"/>
      <c r="L562" s="598" t="s">
        <v>512</v>
      </c>
      <c r="M562" s="602"/>
      <c r="N562" s="602"/>
      <c r="O562" s="602"/>
      <c r="P562" s="602"/>
      <c r="Q562" s="598"/>
      <c r="R562" s="598"/>
      <c r="S562" s="598"/>
      <c r="T562" s="600"/>
      <c r="U562" s="598"/>
      <c r="V562" s="598"/>
    </row>
    <row r="563" spans="1:22" s="604" customFormat="1" ht="228" x14ac:dyDescent="0.45">
      <c r="A563" s="598"/>
      <c r="B563" s="598" t="s">
        <v>761</v>
      </c>
      <c r="C563" s="598" t="s">
        <v>953</v>
      </c>
      <c r="D563" s="598" t="s">
        <v>919</v>
      </c>
      <c r="E563" s="599">
        <f>DGNBvægtning!I40</f>
        <v>2.5000000000000001E-3</v>
      </c>
      <c r="F563" s="600">
        <f>$F$461*G563</f>
        <v>0.42812823164426078</v>
      </c>
      <c r="G563" s="599">
        <f>E563/$E$461</f>
        <v>2.1406411582213038E-2</v>
      </c>
      <c r="H563" s="600">
        <v>1</v>
      </c>
      <c r="I563" s="601" t="s">
        <v>492</v>
      </c>
      <c r="J563" s="601"/>
      <c r="K563" s="598" t="s">
        <v>1067</v>
      </c>
      <c r="L563" s="744"/>
      <c r="M563" s="602"/>
      <c r="N563" s="603">
        <f>IF('Sortering af spørgsmål'!$C$32=Projektforudsætninger!$C$20,'Dialogpart 1'!$J$171,IF('Sortering af spørgsmål'!$C$32=Projektforudsætninger!$C$21,'Dialogpart 2'!$J$170,IF('Sortering af spørgsmål'!$C$32=Projektforudsætninger!$C$22,'Dialogpart 3'!$J$170,IF('Sortering af spørgsmål'!$C$32=Projektforudsætninger!$C$23,'Dialogpart 4'!$J$170,IF('Sortering af spørgsmål'!$C$32=Projektforudsætninger!$C$24,'Dialogpart 5'!$J$170,IF('Sortering af spørgsmål'!$C$32=Projektforudsætninger!$C$25,'Dialogpart 6'!$J$170,IF('Sortering af spørgsmål'!$C$32=Projektforudsætninger!$C$22,'Dialogpart 7'!$J$170,IF('Sortering af spørgsmål'!$C$32=Projektforudsætninger!$C$23,#REF!,IF('Sortering af spørgsmål'!$C$32=Projektforudsætninger!$C$24,#REF!,IF('Sortering af spørgsmål'!$C$32=Projektforudsætninger!$C$25,#REF!,0))))))))))</f>
        <v>0</v>
      </c>
      <c r="O563" s="603"/>
      <c r="P563" s="603"/>
      <c r="Q563" s="598"/>
      <c r="R563" s="599">
        <f>'Sortering af spørgsmål'!$E$32*(Arbejdsark!E563/SUM($E$548:$E$563))</f>
        <v>8.8235294117647058E-3</v>
      </c>
      <c r="S563" s="599">
        <f>R563/$R$461</f>
        <v>2.5210084033613425E-2</v>
      </c>
      <c r="T563" s="600">
        <f>$T$461*S563</f>
        <v>0.75630252100840278</v>
      </c>
      <c r="U563" s="598"/>
      <c r="V563" s="598"/>
    </row>
    <row r="564" spans="1:22" s="604" customFormat="1" ht="171" x14ac:dyDescent="0.45">
      <c r="A564" s="598"/>
      <c r="B564" s="598"/>
      <c r="C564" s="598"/>
      <c r="D564" s="598"/>
      <c r="E564" s="599"/>
      <c r="F564" s="603"/>
      <c r="G564" s="599"/>
      <c r="H564" s="600"/>
      <c r="I564" s="601"/>
      <c r="J564" s="601"/>
      <c r="K564" s="598" t="s">
        <v>1066</v>
      </c>
      <c r="L564" s="598" t="s">
        <v>498</v>
      </c>
      <c r="M564" s="602">
        <v>1</v>
      </c>
      <c r="N564" s="603"/>
      <c r="O564" s="600">
        <f>ROUND(H563*M564,0)</f>
        <v>1</v>
      </c>
      <c r="P564" s="600">
        <f>O564-O564</f>
        <v>0</v>
      </c>
      <c r="Q564" s="598"/>
      <c r="R564" s="598"/>
      <c r="S564" s="598"/>
      <c r="T564" s="600"/>
      <c r="U564" s="600">
        <f>ROUND(T563*M564,0)</f>
        <v>1</v>
      </c>
      <c r="V564" s="598"/>
    </row>
    <row r="565" spans="1:22" s="604" customFormat="1" x14ac:dyDescent="0.45">
      <c r="A565" s="598"/>
      <c r="B565" s="598"/>
      <c r="C565" s="598"/>
      <c r="D565" s="598"/>
      <c r="E565" s="599"/>
      <c r="F565" s="603"/>
      <c r="G565" s="599"/>
      <c r="H565" s="600"/>
      <c r="I565" s="601"/>
      <c r="J565" s="601"/>
      <c r="K565" s="598"/>
      <c r="L565" s="598" t="s">
        <v>499</v>
      </c>
      <c r="M565" s="602">
        <f>7.5/20</f>
        <v>0.375</v>
      </c>
      <c r="N565" s="603"/>
      <c r="O565" s="600">
        <f>ROUND(H563*M565,0)</f>
        <v>0</v>
      </c>
      <c r="P565" s="600">
        <f>O564-O565</f>
        <v>1</v>
      </c>
      <c r="Q565" s="598"/>
      <c r="R565" s="598"/>
      <c r="S565" s="598"/>
      <c r="T565" s="600"/>
      <c r="U565" s="600">
        <f>ROUND(T563*M565,0)</f>
        <v>0</v>
      </c>
      <c r="V565" s="598"/>
    </row>
    <row r="566" spans="1:22" s="604" customFormat="1" x14ac:dyDescent="0.45">
      <c r="A566" s="598"/>
      <c r="B566" s="598"/>
      <c r="C566" s="598"/>
      <c r="D566" s="598"/>
      <c r="E566" s="599"/>
      <c r="F566" s="603"/>
      <c r="G566" s="599"/>
      <c r="H566" s="600"/>
      <c r="I566" s="601"/>
      <c r="J566" s="601"/>
      <c r="K566" s="598"/>
      <c r="L566" s="598" t="s">
        <v>495</v>
      </c>
      <c r="M566" s="602">
        <v>0</v>
      </c>
      <c r="N566" s="602"/>
      <c r="O566" s="600">
        <f>ROUND(H563*M566,0)</f>
        <v>0</v>
      </c>
      <c r="P566" s="600">
        <f>O564-O566</f>
        <v>1</v>
      </c>
      <c r="Q566" s="598"/>
      <c r="R566" s="598"/>
      <c r="S566" s="598"/>
      <c r="T566" s="600"/>
      <c r="U566" s="600">
        <f>ROUND(T563*M566,0)</f>
        <v>0</v>
      </c>
      <c r="V566" s="598"/>
    </row>
    <row r="567" spans="1:22" s="604" customFormat="1" x14ac:dyDescent="0.45">
      <c r="A567" s="598"/>
      <c r="B567" s="598"/>
      <c r="C567" s="598"/>
      <c r="D567" s="598"/>
      <c r="E567" s="599"/>
      <c r="F567" s="603"/>
      <c r="G567" s="599"/>
      <c r="H567" s="600"/>
      <c r="I567" s="601"/>
      <c r="J567" s="601"/>
      <c r="K567" s="598"/>
      <c r="L567" s="598"/>
      <c r="M567" s="602"/>
      <c r="N567" s="602"/>
      <c r="O567" s="602"/>
      <c r="P567" s="602"/>
      <c r="Q567" s="598"/>
      <c r="R567" s="598"/>
      <c r="S567" s="598"/>
      <c r="T567" s="600"/>
      <c r="U567" s="598"/>
      <c r="V567" s="598"/>
    </row>
    <row r="569" spans="1:22" s="609" customFormat="1" ht="42.75" hidden="1" x14ac:dyDescent="0.45">
      <c r="A569" s="605"/>
      <c r="B569" s="605">
        <v>7</v>
      </c>
      <c r="C569" s="605" t="s">
        <v>724</v>
      </c>
      <c r="D569" s="605" t="s">
        <v>725</v>
      </c>
      <c r="E569" s="606">
        <f>DGNBvægtning!I43</f>
        <v>1.6666666666666668E-3</v>
      </c>
      <c r="F569" s="606"/>
      <c r="G569" s="606"/>
      <c r="H569" s="606"/>
      <c r="I569" s="607"/>
      <c r="J569" s="607" t="s">
        <v>492</v>
      </c>
      <c r="K569" s="605" t="s">
        <v>726</v>
      </c>
      <c r="L569" s="605"/>
      <c r="M569" s="722"/>
      <c r="N569" s="722"/>
      <c r="O569" s="722"/>
      <c r="P569" s="722"/>
      <c r="Q569" s="605"/>
      <c r="R569" s="605"/>
      <c r="S569" s="605"/>
      <c r="T569" s="608"/>
      <c r="U569" s="605"/>
      <c r="V569" s="605"/>
    </row>
    <row r="570" spans="1:22" s="609" customFormat="1" hidden="1" x14ac:dyDescent="0.45">
      <c r="A570" s="605"/>
      <c r="B570" s="605"/>
      <c r="C570" s="605"/>
      <c r="D570" s="605"/>
      <c r="E570" s="606"/>
      <c r="F570" s="606"/>
      <c r="G570" s="606"/>
      <c r="H570" s="606"/>
      <c r="I570" s="607"/>
      <c r="J570" s="607"/>
      <c r="K570" s="605"/>
      <c r="L570" s="605" t="s">
        <v>10</v>
      </c>
      <c r="M570" s="722">
        <v>1</v>
      </c>
      <c r="N570" s="722"/>
      <c r="O570" s="722"/>
      <c r="P570" s="722"/>
      <c r="Q570" s="605"/>
      <c r="R570" s="605"/>
      <c r="S570" s="605"/>
      <c r="T570" s="608"/>
      <c r="U570" s="605"/>
      <c r="V570" s="605"/>
    </row>
    <row r="571" spans="1:22" s="609" customFormat="1" hidden="1" x14ac:dyDescent="0.45">
      <c r="A571" s="605"/>
      <c r="B571" s="605"/>
      <c r="C571" s="605"/>
      <c r="D571" s="605"/>
      <c r="E571" s="606"/>
      <c r="F571" s="606"/>
      <c r="G571" s="606"/>
      <c r="H571" s="606"/>
      <c r="I571" s="607"/>
      <c r="J571" s="607"/>
      <c r="K571" s="605"/>
      <c r="L571" s="605" t="s">
        <v>12</v>
      </c>
      <c r="M571" s="722">
        <v>0</v>
      </c>
      <c r="N571" s="722"/>
      <c r="O571" s="722"/>
      <c r="P571" s="722"/>
      <c r="Q571" s="605"/>
      <c r="R571" s="605"/>
      <c r="S571" s="605"/>
      <c r="T571" s="608"/>
      <c r="U571" s="605"/>
      <c r="V571" s="605"/>
    </row>
    <row r="572" spans="1:22" s="604" customFormat="1" ht="256.5" x14ac:dyDescent="0.45">
      <c r="A572" s="598"/>
      <c r="B572" s="598" t="s">
        <v>762</v>
      </c>
      <c r="C572" s="598" t="s">
        <v>727</v>
      </c>
      <c r="D572" s="598" t="s">
        <v>728</v>
      </c>
      <c r="E572" s="599">
        <f>DGNBvægtning!I44</f>
        <v>8.3333333333333339E-4</v>
      </c>
      <c r="F572" s="600">
        <f>$F$461*G572</f>
        <v>0.14270941054808692</v>
      </c>
      <c r="G572" s="599">
        <f>E572/$E$461</f>
        <v>7.1354705274043464E-3</v>
      </c>
      <c r="H572" s="603">
        <v>1</v>
      </c>
      <c r="I572" s="601" t="s">
        <v>492</v>
      </c>
      <c r="J572" s="601"/>
      <c r="K572" s="598" t="s">
        <v>1068</v>
      </c>
      <c r="L572" s="598"/>
      <c r="M572" s="602"/>
      <c r="N572" s="602"/>
      <c r="O572" s="602"/>
      <c r="P572" s="602"/>
      <c r="Q572" s="598"/>
      <c r="R572" s="598"/>
      <c r="S572" s="598"/>
      <c r="T572" s="600"/>
      <c r="U572" s="598"/>
      <c r="V572" s="598"/>
    </row>
    <row r="573" spans="1:22" s="604" customFormat="1" x14ac:dyDescent="0.45">
      <c r="A573" s="598"/>
      <c r="B573" s="598"/>
      <c r="C573" s="598"/>
      <c r="D573" s="598"/>
      <c r="E573" s="599"/>
      <c r="F573" s="599"/>
      <c r="G573" s="599"/>
      <c r="H573" s="599"/>
      <c r="I573" s="601"/>
      <c r="J573" s="601"/>
      <c r="K573" s="598"/>
      <c r="L573" s="598" t="s">
        <v>498</v>
      </c>
      <c r="M573" s="602">
        <v>1</v>
      </c>
      <c r="N573" s="602"/>
      <c r="O573" s="600">
        <f>ROUND(H572*M573,0)</f>
        <v>1</v>
      </c>
      <c r="P573" s="600">
        <f>O573-O573</f>
        <v>0</v>
      </c>
      <c r="Q573" s="598"/>
      <c r="R573" s="598"/>
      <c r="S573" s="598"/>
      <c r="T573" s="600"/>
      <c r="U573" s="598"/>
      <c r="V573" s="598"/>
    </row>
    <row r="574" spans="1:22" s="604" customFormat="1" x14ac:dyDescent="0.45">
      <c r="A574" s="598"/>
      <c r="B574" s="598"/>
      <c r="C574" s="598"/>
      <c r="D574" s="598"/>
      <c r="E574" s="599"/>
      <c r="F574" s="599"/>
      <c r="G574" s="599"/>
      <c r="H574" s="599"/>
      <c r="I574" s="601"/>
      <c r="J574" s="601"/>
      <c r="K574" s="598"/>
      <c r="L574" s="598" t="s">
        <v>499</v>
      </c>
      <c r="M574" s="602">
        <v>0.6</v>
      </c>
      <c r="N574" s="602"/>
      <c r="O574" s="600">
        <f>ROUND(H572*M574,0)</f>
        <v>1</v>
      </c>
      <c r="P574" s="600">
        <f>O573-O574</f>
        <v>0</v>
      </c>
      <c r="Q574" s="598"/>
      <c r="R574" s="598"/>
      <c r="S574" s="598"/>
      <c r="T574" s="600"/>
      <c r="U574" s="598"/>
      <c r="V574" s="598"/>
    </row>
    <row r="575" spans="1:22" s="604" customFormat="1" x14ac:dyDescent="0.45">
      <c r="A575" s="598"/>
      <c r="B575" s="598"/>
      <c r="C575" s="598"/>
      <c r="D575" s="598"/>
      <c r="E575" s="599"/>
      <c r="F575" s="599"/>
      <c r="G575" s="599"/>
      <c r="H575" s="599"/>
      <c r="I575" s="601"/>
      <c r="J575" s="601"/>
      <c r="K575" s="598"/>
      <c r="L575" s="598" t="s">
        <v>495</v>
      </c>
      <c r="M575" s="602">
        <v>0</v>
      </c>
      <c r="N575" s="602"/>
      <c r="O575" s="600">
        <f>ROUND(H572*M575,0)</f>
        <v>0</v>
      </c>
      <c r="P575" s="600">
        <f>O573-O575</f>
        <v>1</v>
      </c>
      <c r="Q575" s="598"/>
      <c r="R575" s="598"/>
      <c r="S575" s="598"/>
      <c r="T575" s="600"/>
      <c r="U575" s="598"/>
      <c r="V575" s="598"/>
    </row>
    <row r="576" spans="1:22" s="604" customFormat="1" ht="28.5" x14ac:dyDescent="0.45">
      <c r="A576" s="598"/>
      <c r="B576" s="598"/>
      <c r="C576" s="598"/>
      <c r="D576" s="598"/>
      <c r="E576" s="599"/>
      <c r="F576" s="599"/>
      <c r="G576" s="599"/>
      <c r="H576" s="599"/>
      <c r="I576" s="601"/>
      <c r="J576" s="601"/>
      <c r="K576" s="744"/>
      <c r="L576" s="598" t="s">
        <v>512</v>
      </c>
      <c r="M576" s="602"/>
      <c r="N576" s="602"/>
      <c r="O576" s="602"/>
      <c r="P576" s="602"/>
      <c r="Q576" s="598"/>
      <c r="R576" s="598"/>
      <c r="S576" s="598"/>
      <c r="T576" s="600"/>
      <c r="U576" s="598"/>
      <c r="V576" s="598"/>
    </row>
    <row r="577" spans="1:21" x14ac:dyDescent="0.45">
      <c r="K577" s="756"/>
    </row>
    <row r="578" spans="1:21" x14ac:dyDescent="0.45">
      <c r="A578" s="730" t="s">
        <v>596</v>
      </c>
      <c r="B578" s="730"/>
      <c r="C578" s="649"/>
      <c r="D578" s="649"/>
      <c r="E578" s="213"/>
      <c r="F578" s="213"/>
      <c r="G578" s="213"/>
      <c r="H578" s="213"/>
      <c r="I578" s="709"/>
      <c r="J578" s="709"/>
      <c r="K578" s="209"/>
      <c r="L578" s="209"/>
      <c r="M578" s="716"/>
      <c r="N578" s="716"/>
      <c r="O578" s="717"/>
      <c r="P578" s="718"/>
      <c r="U578" s="209"/>
    </row>
    <row r="579" spans="1:21" ht="114" outlineLevel="1" x14ac:dyDescent="0.45">
      <c r="A579" s="209" t="s">
        <v>597</v>
      </c>
      <c r="B579" s="209"/>
      <c r="C579" s="649" t="s">
        <v>459</v>
      </c>
      <c r="D579" s="649" t="s">
        <v>598</v>
      </c>
      <c r="E579" s="213">
        <v>3.3000000000000002E-2</v>
      </c>
      <c r="F579" s="213"/>
      <c r="G579" s="213"/>
      <c r="H579" s="213"/>
      <c r="I579" s="709"/>
      <c r="J579" s="709" t="s">
        <v>492</v>
      </c>
      <c r="K579" s="714" t="s">
        <v>599</v>
      </c>
      <c r="L579" s="731" t="s">
        <v>600</v>
      </c>
      <c r="M579" s="724"/>
      <c r="N579" s="724" t="str">
        <f>Projektforudsætninger!C50</f>
        <v>Vælg fra rullemenu</v>
      </c>
      <c r="O579" s="725"/>
      <c r="P579" s="726"/>
    </row>
    <row r="580" spans="1:21" outlineLevel="1" x14ac:dyDescent="0.45">
      <c r="A580" s="209"/>
      <c r="B580" s="209"/>
      <c r="C580" s="649"/>
      <c r="D580" s="649"/>
      <c r="E580" s="213"/>
      <c r="F580" s="213"/>
      <c r="G580" s="213"/>
      <c r="H580" s="213"/>
      <c r="I580" s="709"/>
      <c r="J580" s="709"/>
      <c r="K580" s="649"/>
      <c r="L580" s="732" t="s">
        <v>10</v>
      </c>
      <c r="M580" s="733">
        <v>0</v>
      </c>
      <c r="N580" s="733"/>
      <c r="O580" s="734"/>
      <c r="P580" s="735"/>
    </row>
    <row r="581" spans="1:21" outlineLevel="1" x14ac:dyDescent="0.45">
      <c r="A581" s="209"/>
      <c r="B581" s="209"/>
      <c r="C581" s="649"/>
      <c r="D581" s="649"/>
      <c r="E581" s="213"/>
      <c r="F581" s="213"/>
      <c r="G581" s="213"/>
      <c r="H581" s="213"/>
      <c r="I581" s="709"/>
      <c r="J581" s="709"/>
      <c r="K581" s="649"/>
      <c r="L581" s="732" t="s">
        <v>12</v>
      </c>
      <c r="M581" s="733">
        <v>1</v>
      </c>
      <c r="N581" s="733"/>
      <c r="O581" s="734"/>
      <c r="P581" s="735"/>
    </row>
    <row r="582" spans="1:21" outlineLevel="1" x14ac:dyDescent="0.45">
      <c r="A582" s="209"/>
      <c r="B582" s="209"/>
      <c r="C582" s="649"/>
      <c r="D582" s="649"/>
      <c r="E582" s="213"/>
      <c r="F582" s="213"/>
      <c r="G582" s="213"/>
      <c r="H582" s="213"/>
      <c r="I582" s="709"/>
      <c r="J582" s="709"/>
      <c r="K582" s="649"/>
      <c r="L582" s="732"/>
      <c r="M582" s="733"/>
      <c r="N582" s="733"/>
      <c r="O582" s="734"/>
      <c r="P582" s="735"/>
    </row>
    <row r="583" spans="1:21" outlineLevel="1" x14ac:dyDescent="0.45">
      <c r="A583" s="209"/>
      <c r="B583" s="209"/>
      <c r="C583" s="649"/>
      <c r="D583" s="649"/>
      <c r="E583" s="213"/>
      <c r="F583" s="213"/>
      <c r="G583" s="213"/>
      <c r="H583" s="213"/>
      <c r="I583" s="709"/>
      <c r="J583" s="709"/>
      <c r="K583" s="649"/>
      <c r="L583" s="649"/>
      <c r="M583" s="724"/>
      <c r="N583" s="724"/>
      <c r="O583" s="725"/>
      <c r="P583" s="726"/>
    </row>
    <row r="584" spans="1:21" ht="99.75" outlineLevel="1" x14ac:dyDescent="0.45">
      <c r="A584" s="209"/>
      <c r="B584" s="209"/>
      <c r="C584" s="649" t="s">
        <v>601</v>
      </c>
      <c r="D584" s="649" t="s">
        <v>602</v>
      </c>
      <c r="E584" s="213">
        <v>3.3000000000000002E-2</v>
      </c>
      <c r="F584" s="213"/>
      <c r="G584" s="213"/>
      <c r="H584" s="213"/>
      <c r="I584" s="709"/>
      <c r="J584" s="709" t="s">
        <v>492</v>
      </c>
      <c r="K584" s="714" t="s">
        <v>603</v>
      </c>
      <c r="L584" s="731" t="s">
        <v>600</v>
      </c>
      <c r="M584" s="724"/>
      <c r="N584" s="724" t="str">
        <f>Projektforudsætninger!C35</f>
        <v>Vælg fra rullemenu</v>
      </c>
      <c r="O584" s="725"/>
      <c r="P584" s="726"/>
    </row>
    <row r="585" spans="1:21" outlineLevel="1" x14ac:dyDescent="0.45">
      <c r="A585" s="209"/>
      <c r="B585" s="209"/>
      <c r="C585" s="649"/>
      <c r="D585" s="649"/>
      <c r="E585" s="213"/>
      <c r="F585" s="213"/>
      <c r="G585" s="213"/>
      <c r="H585" s="213"/>
      <c r="I585" s="709"/>
      <c r="J585" s="709"/>
      <c r="K585" s="649"/>
      <c r="L585" s="649" t="s">
        <v>10</v>
      </c>
      <c r="M585" s="724">
        <v>0</v>
      </c>
      <c r="N585" s="724"/>
      <c r="O585" s="725"/>
      <c r="P585" s="726"/>
    </row>
    <row r="586" spans="1:21" outlineLevel="1" x14ac:dyDescent="0.45">
      <c r="A586" s="209"/>
      <c r="B586" s="209"/>
      <c r="C586" s="649"/>
      <c r="D586" s="649"/>
      <c r="E586" s="213"/>
      <c r="F586" s="213"/>
      <c r="G586" s="213"/>
      <c r="H586" s="213"/>
      <c r="I586" s="709"/>
      <c r="J586" s="709"/>
      <c r="K586" s="649"/>
      <c r="L586" s="649" t="s">
        <v>604</v>
      </c>
      <c r="M586" s="724">
        <v>1</v>
      </c>
      <c r="N586" s="724"/>
      <c r="O586" s="725"/>
      <c r="P586" s="726"/>
    </row>
    <row r="587" spans="1:21" outlineLevel="1" x14ac:dyDescent="0.45">
      <c r="A587" s="209"/>
      <c r="B587" s="209"/>
      <c r="C587" s="649"/>
      <c r="D587" s="649"/>
      <c r="E587" s="213"/>
      <c r="F587" s="213"/>
      <c r="G587" s="213"/>
      <c r="H587" s="213"/>
      <c r="I587" s="709"/>
      <c r="J587" s="709"/>
      <c r="K587" s="649"/>
      <c r="L587" s="649" t="s">
        <v>14</v>
      </c>
      <c r="M587" s="724">
        <v>0</v>
      </c>
      <c r="N587" s="724"/>
      <c r="O587" s="725"/>
      <c r="P587" s="726"/>
    </row>
    <row r="588" spans="1:21" outlineLevel="1" x14ac:dyDescent="0.45">
      <c r="A588" s="209"/>
      <c r="B588" s="209"/>
      <c r="C588" s="649"/>
      <c r="D588" s="649"/>
      <c r="E588" s="213"/>
      <c r="F588" s="213"/>
      <c r="G588" s="213"/>
      <c r="H588" s="213"/>
      <c r="I588" s="709"/>
      <c r="J588" s="709"/>
      <c r="K588" s="649"/>
      <c r="L588" s="649"/>
      <c r="M588" s="724"/>
      <c r="N588" s="724"/>
      <c r="O588" s="725"/>
      <c r="P588" s="726"/>
    </row>
    <row r="589" spans="1:21" ht="57" outlineLevel="1" x14ac:dyDescent="0.45">
      <c r="A589" s="209"/>
      <c r="B589" s="209"/>
      <c r="C589" s="649" t="s">
        <v>605</v>
      </c>
      <c r="D589" s="649" t="s">
        <v>96</v>
      </c>
      <c r="E589" s="213">
        <f>1.1%+1.1%+1.1%</f>
        <v>3.3000000000000002E-2</v>
      </c>
      <c r="F589" s="213"/>
      <c r="G589" s="213"/>
      <c r="H589" s="213"/>
      <c r="I589" s="709" t="s">
        <v>492</v>
      </c>
      <c r="J589" s="709"/>
      <c r="K589" s="714" t="s">
        <v>606</v>
      </c>
      <c r="L589" s="736" t="s">
        <v>607</v>
      </c>
      <c r="M589" s="724"/>
      <c r="N589" s="724" t="str">
        <f>Projektforudsætninger!C51</f>
        <v>Vælg fra rullemenu</v>
      </c>
      <c r="O589" s="725"/>
      <c r="P589" s="726"/>
    </row>
    <row r="590" spans="1:21" outlineLevel="1" x14ac:dyDescent="0.45">
      <c r="A590" s="209"/>
      <c r="B590" s="209"/>
      <c r="C590" s="649"/>
      <c r="D590" s="649"/>
      <c r="E590" s="213"/>
      <c r="F590" s="213"/>
      <c r="G590" s="213"/>
      <c r="H590" s="213"/>
      <c r="I590" s="709"/>
      <c r="J590" s="709"/>
      <c r="K590" s="649"/>
      <c r="L590" s="649" t="s">
        <v>10</v>
      </c>
      <c r="M590" s="724"/>
      <c r="N590" s="724"/>
      <c r="O590" s="725"/>
      <c r="P590" s="726"/>
    </row>
    <row r="591" spans="1:21" outlineLevel="1" x14ac:dyDescent="0.45">
      <c r="A591" s="209"/>
      <c r="B591" s="209"/>
      <c r="C591" s="649"/>
      <c r="D591" s="649"/>
      <c r="E591" s="213"/>
      <c r="F591" s="213"/>
      <c r="G591" s="213"/>
      <c r="H591" s="213"/>
      <c r="I591" s="709"/>
      <c r="J591" s="709"/>
      <c r="K591" s="649"/>
      <c r="L591" s="649" t="s">
        <v>12</v>
      </c>
      <c r="M591" s="724"/>
      <c r="N591" s="724"/>
      <c r="O591" s="725"/>
      <c r="P591" s="726"/>
    </row>
    <row r="592" spans="1:21" outlineLevel="1" x14ac:dyDescent="0.45">
      <c r="A592" s="209"/>
      <c r="B592" s="209"/>
      <c r="C592" s="649"/>
      <c r="D592" s="649"/>
      <c r="E592" s="213"/>
      <c r="F592" s="213"/>
      <c r="G592" s="213"/>
      <c r="H592" s="213"/>
      <c r="I592" s="709"/>
      <c r="J592" s="709"/>
      <c r="K592" s="649"/>
      <c r="L592" s="649"/>
      <c r="M592" s="724"/>
      <c r="N592" s="724"/>
      <c r="O592" s="725"/>
      <c r="P592" s="726"/>
    </row>
    <row r="593" spans="1:16" outlineLevel="1" x14ac:dyDescent="0.45">
      <c r="A593" s="209"/>
      <c r="B593" s="209"/>
      <c r="C593" s="649"/>
      <c r="D593" s="649"/>
      <c r="E593" s="213"/>
      <c r="F593" s="213"/>
      <c r="G593" s="213"/>
      <c r="H593" s="213"/>
      <c r="I593" s="709"/>
      <c r="J593" s="709"/>
      <c r="K593" s="649"/>
      <c r="L593" s="649"/>
      <c r="M593" s="724"/>
      <c r="N593" s="724"/>
      <c r="O593" s="725"/>
      <c r="P593" s="726"/>
    </row>
    <row r="594" spans="1:16" ht="71.25" outlineLevel="1" x14ac:dyDescent="0.45">
      <c r="A594" s="209"/>
      <c r="B594" s="209"/>
      <c r="C594" s="649" t="s">
        <v>608</v>
      </c>
      <c r="D594" s="649" t="s">
        <v>96</v>
      </c>
      <c r="E594" s="213">
        <v>3.3000000000000002E-2</v>
      </c>
      <c r="F594" s="213"/>
      <c r="G594" s="213"/>
      <c r="H594" s="213"/>
      <c r="I594" s="709" t="s">
        <v>492</v>
      </c>
      <c r="J594" s="709"/>
      <c r="K594" s="714" t="s">
        <v>609</v>
      </c>
      <c r="L594" s="714" t="s">
        <v>610</v>
      </c>
      <c r="M594" s="724"/>
      <c r="N594" s="724" t="str">
        <f>Projektforudsætninger!C52</f>
        <v>Vælg fra rullemenu</v>
      </c>
      <c r="O594" s="725"/>
      <c r="P594" s="726"/>
    </row>
    <row r="595" spans="1:16" outlineLevel="1" x14ac:dyDescent="0.45">
      <c r="A595" s="209"/>
      <c r="B595" s="209"/>
      <c r="C595" s="649"/>
      <c r="D595" s="649"/>
      <c r="E595" s="213"/>
      <c r="F595" s="213"/>
      <c r="G595" s="213"/>
      <c r="H595" s="213"/>
      <c r="I595" s="709"/>
      <c r="J595" s="709"/>
      <c r="K595" s="649"/>
      <c r="L595" s="649" t="s">
        <v>611</v>
      </c>
      <c r="M595" s="724"/>
      <c r="N595" s="724"/>
      <c r="O595" s="725"/>
      <c r="P595" s="726"/>
    </row>
    <row r="596" spans="1:16" outlineLevel="1" x14ac:dyDescent="0.45">
      <c r="A596" s="209"/>
      <c r="B596" s="209"/>
      <c r="C596" s="649"/>
      <c r="D596" s="649"/>
      <c r="E596" s="213"/>
      <c r="F596" s="213"/>
      <c r="G596" s="213"/>
      <c r="H596" s="213"/>
      <c r="I596" s="709"/>
      <c r="J596" s="709"/>
      <c r="K596" s="649"/>
      <c r="L596" s="649" t="s">
        <v>12</v>
      </c>
      <c r="M596" s="724"/>
      <c r="N596" s="724"/>
      <c r="O596" s="725"/>
      <c r="P596" s="726"/>
    </row>
    <row r="597" spans="1:16" outlineLevel="1" x14ac:dyDescent="0.45">
      <c r="A597" s="209"/>
      <c r="B597" s="209"/>
      <c r="C597" s="649"/>
      <c r="D597" s="649"/>
      <c r="E597" s="213"/>
      <c r="F597" s="213"/>
      <c r="G597" s="213"/>
      <c r="H597" s="213"/>
      <c r="I597" s="709"/>
      <c r="J597" s="709"/>
      <c r="K597" s="649"/>
      <c r="L597" s="649"/>
      <c r="M597" s="724"/>
      <c r="N597" s="724"/>
      <c r="O597" s="725"/>
      <c r="P597" s="726"/>
    </row>
    <row r="598" spans="1:16" outlineLevel="1" x14ac:dyDescent="0.45">
      <c r="A598" s="209"/>
      <c r="B598" s="209"/>
      <c r="C598" s="649"/>
      <c r="D598" s="649"/>
      <c r="E598" s="213"/>
      <c r="F598" s="213"/>
      <c r="G598" s="213"/>
      <c r="H598" s="213"/>
      <c r="I598" s="709"/>
      <c r="J598" s="709"/>
      <c r="K598" s="649"/>
      <c r="L598" s="649"/>
      <c r="M598" s="724"/>
      <c r="N598" s="724"/>
      <c r="O598" s="725"/>
      <c r="P598" s="726"/>
    </row>
    <row r="599" spans="1:16" ht="142.5" outlineLevel="1" x14ac:dyDescent="0.45">
      <c r="A599" s="209"/>
      <c r="B599" s="209"/>
      <c r="C599" s="649" t="s">
        <v>467</v>
      </c>
      <c r="D599" s="649" t="s">
        <v>96</v>
      </c>
      <c r="E599" s="213">
        <v>2.1999999999999999E-2</v>
      </c>
      <c r="F599" s="213"/>
      <c r="G599" s="213"/>
      <c r="H599" s="213"/>
      <c r="I599" s="709" t="s">
        <v>492</v>
      </c>
      <c r="J599" s="709" t="s">
        <v>492</v>
      </c>
      <c r="K599" s="714" t="s">
        <v>612</v>
      </c>
      <c r="L599" s="649"/>
      <c r="M599" s="724"/>
      <c r="N599" s="724" t="str">
        <f>Projektforudsætninger!C53</f>
        <v>Vælg fra rullemenu:</v>
      </c>
      <c r="O599" s="725"/>
      <c r="P599" s="726"/>
    </row>
    <row r="600" spans="1:16" outlineLevel="1" x14ac:dyDescent="0.45">
      <c r="A600" s="209"/>
      <c r="B600" s="209"/>
      <c r="C600" s="649"/>
      <c r="D600" s="649"/>
      <c r="E600" s="213"/>
      <c r="F600" s="213"/>
      <c r="G600" s="213"/>
      <c r="H600" s="213"/>
      <c r="I600" s="709"/>
      <c r="J600" s="709"/>
      <c r="K600" s="714"/>
      <c r="L600" s="649" t="s">
        <v>36</v>
      </c>
      <c r="M600" s="724"/>
      <c r="N600" s="724"/>
      <c r="O600" s="725"/>
      <c r="P600" s="726"/>
    </row>
    <row r="601" spans="1:16" outlineLevel="1" x14ac:dyDescent="0.45">
      <c r="A601" s="209"/>
      <c r="B601" s="209"/>
      <c r="C601" s="649"/>
      <c r="D601" s="649"/>
      <c r="E601" s="213"/>
      <c r="F601" s="213"/>
      <c r="G601" s="213"/>
      <c r="H601" s="213"/>
      <c r="I601" s="709"/>
      <c r="J601" s="709"/>
      <c r="K601" s="649"/>
      <c r="L601" s="714" t="s">
        <v>613</v>
      </c>
      <c r="M601" s="737">
        <f>10/10</f>
        <v>1</v>
      </c>
      <c r="N601" s="737"/>
      <c r="O601" s="738"/>
      <c r="P601" s="739"/>
    </row>
    <row r="602" spans="1:16" outlineLevel="1" x14ac:dyDescent="0.45">
      <c r="A602" s="209"/>
      <c r="B602" s="209"/>
      <c r="C602" s="649"/>
      <c r="D602" s="649"/>
      <c r="E602" s="213"/>
      <c r="F602" s="213"/>
      <c r="G602" s="213"/>
      <c r="H602" s="213"/>
      <c r="I602" s="709"/>
      <c r="J602" s="709"/>
      <c r="K602" s="649"/>
      <c r="L602" s="714" t="s">
        <v>614</v>
      </c>
      <c r="M602" s="737">
        <f>7.5/10</f>
        <v>0.75</v>
      </c>
      <c r="N602" s="737"/>
      <c r="O602" s="738"/>
      <c r="P602" s="739"/>
    </row>
    <row r="603" spans="1:16" outlineLevel="1" x14ac:dyDescent="0.45">
      <c r="A603" s="209"/>
      <c r="B603" s="209"/>
      <c r="C603" s="649"/>
      <c r="D603" s="649"/>
      <c r="E603" s="213"/>
      <c r="F603" s="213"/>
      <c r="G603" s="213"/>
      <c r="H603" s="213"/>
      <c r="I603" s="709"/>
      <c r="J603" s="709"/>
      <c r="K603" s="649"/>
      <c r="L603" s="714" t="s">
        <v>615</v>
      </c>
      <c r="M603" s="737">
        <f>5/10</f>
        <v>0.5</v>
      </c>
      <c r="N603" s="737"/>
      <c r="O603" s="738"/>
      <c r="P603" s="739"/>
    </row>
    <row r="604" spans="1:16" outlineLevel="1" x14ac:dyDescent="0.45">
      <c r="A604" s="209"/>
      <c r="B604" s="209"/>
      <c r="C604" s="649"/>
      <c r="D604" s="649"/>
      <c r="E604" s="213"/>
      <c r="F604" s="213"/>
      <c r="G604" s="213"/>
      <c r="H604" s="213"/>
      <c r="I604" s="709"/>
      <c r="J604" s="709"/>
      <c r="K604" s="649"/>
      <c r="L604" s="714" t="s">
        <v>616</v>
      </c>
      <c r="M604" s="737">
        <f>2.5/10</f>
        <v>0.25</v>
      </c>
      <c r="N604" s="737"/>
      <c r="O604" s="738"/>
      <c r="P604" s="739"/>
    </row>
    <row r="605" spans="1:16" outlineLevel="1" x14ac:dyDescent="0.45">
      <c r="A605" s="209"/>
      <c r="B605" s="209"/>
      <c r="C605" s="649"/>
      <c r="D605" s="649"/>
      <c r="E605" s="213"/>
      <c r="F605" s="213"/>
      <c r="G605" s="213"/>
      <c r="H605" s="213"/>
      <c r="I605" s="709"/>
      <c r="J605" s="709"/>
      <c r="K605" s="649"/>
      <c r="L605" s="714" t="s">
        <v>617</v>
      </c>
      <c r="M605" s="737">
        <v>0</v>
      </c>
      <c r="N605" s="737"/>
      <c r="O605" s="738"/>
      <c r="P605" s="739"/>
    </row>
    <row r="606" spans="1:16" ht="114" outlineLevel="1" x14ac:dyDescent="0.45">
      <c r="A606" s="209"/>
      <c r="B606" s="209"/>
      <c r="C606" s="649" t="s">
        <v>618</v>
      </c>
      <c r="D606" s="649" t="s">
        <v>96</v>
      </c>
      <c r="E606" s="213">
        <v>2.1999999999999999E-2</v>
      </c>
      <c r="F606" s="213"/>
      <c r="G606" s="213"/>
      <c r="H606" s="213"/>
      <c r="I606" s="709" t="s">
        <v>492</v>
      </c>
      <c r="J606" s="709" t="s">
        <v>492</v>
      </c>
      <c r="K606" s="714" t="s">
        <v>619</v>
      </c>
      <c r="L606" s="714" t="s">
        <v>620</v>
      </c>
      <c r="M606" s="724"/>
      <c r="N606" s="724" t="str">
        <f>Projektforudsætninger!C54</f>
        <v>Vælg fra rullemenu</v>
      </c>
      <c r="O606" s="725"/>
      <c r="P606" s="726"/>
    </row>
    <row r="607" spans="1:16" outlineLevel="1" x14ac:dyDescent="0.45">
      <c r="A607" s="209"/>
      <c r="B607" s="209"/>
      <c r="C607" s="649"/>
      <c r="D607" s="649"/>
      <c r="E607" s="213"/>
      <c r="F607" s="213"/>
      <c r="G607" s="213"/>
      <c r="H607" s="213"/>
      <c r="I607" s="709"/>
      <c r="J607" s="709"/>
      <c r="K607" s="649"/>
      <c r="L607" s="649" t="s">
        <v>611</v>
      </c>
      <c r="M607" s="724"/>
      <c r="N607" s="724"/>
      <c r="O607" s="725"/>
      <c r="P607" s="726"/>
    </row>
    <row r="608" spans="1:16" outlineLevel="1" x14ac:dyDescent="0.45">
      <c r="A608" s="209"/>
      <c r="B608" s="209"/>
      <c r="C608" s="649"/>
      <c r="D608" s="649"/>
      <c r="E608" s="213"/>
      <c r="F608" s="213"/>
      <c r="G608" s="213"/>
      <c r="H608" s="213"/>
      <c r="I608" s="709"/>
      <c r="J608" s="709"/>
      <c r="K608" s="649"/>
      <c r="L608" s="649" t="s">
        <v>12</v>
      </c>
      <c r="M608" s="724"/>
      <c r="N608" s="724"/>
      <c r="O608" s="725"/>
      <c r="P608" s="726"/>
    </row>
    <row r="609" spans="1:16" outlineLevel="1" x14ac:dyDescent="0.45">
      <c r="A609" s="209"/>
      <c r="B609" s="209"/>
      <c r="C609" s="649"/>
      <c r="D609" s="649"/>
      <c r="E609" s="213"/>
      <c r="F609" s="213"/>
      <c r="G609" s="213"/>
      <c r="H609" s="213"/>
      <c r="I609" s="709"/>
      <c r="J609" s="709"/>
      <c r="K609" s="649"/>
      <c r="L609" s="649"/>
      <c r="M609" s="724"/>
      <c r="N609" s="724"/>
      <c r="O609" s="725"/>
      <c r="P609" s="726"/>
    </row>
    <row r="610" spans="1:16" outlineLevel="1" x14ac:dyDescent="0.45">
      <c r="A610" s="209"/>
      <c r="B610" s="209"/>
      <c r="C610" s="649"/>
      <c r="D610" s="649"/>
      <c r="E610" s="213"/>
      <c r="F610" s="213"/>
      <c r="G610" s="213"/>
      <c r="H610" s="213"/>
      <c r="I610" s="709"/>
      <c r="J610" s="709"/>
      <c r="K610" s="649"/>
      <c r="L610" s="649"/>
      <c r="M610" s="724"/>
      <c r="N610" s="724"/>
      <c r="O610" s="725"/>
      <c r="P610" s="726"/>
    </row>
    <row r="611" spans="1:16" outlineLevel="1" x14ac:dyDescent="0.45">
      <c r="A611" s="209"/>
      <c r="B611" s="209"/>
      <c r="C611" s="649"/>
      <c r="D611" s="649"/>
      <c r="E611" s="213"/>
      <c r="F611" s="213"/>
      <c r="G611" s="213"/>
      <c r="H611" s="213"/>
      <c r="I611" s="709"/>
      <c r="J611" s="709"/>
      <c r="K611" s="649"/>
      <c r="L611" s="649"/>
      <c r="M611" s="724"/>
      <c r="N611" s="724"/>
      <c r="O611" s="725"/>
      <c r="P611" s="726"/>
    </row>
    <row r="612" spans="1:16" ht="85.5" outlineLevel="1" x14ac:dyDescent="0.45">
      <c r="A612" s="209" t="s">
        <v>621</v>
      </c>
      <c r="B612" s="209"/>
      <c r="C612" s="649" t="s">
        <v>622</v>
      </c>
      <c r="D612" s="649" t="s">
        <v>922</v>
      </c>
      <c r="E612" s="213">
        <f>11.1%/2</f>
        <v>5.5500000000000001E-2</v>
      </c>
      <c r="F612" s="213"/>
      <c r="G612" s="213"/>
      <c r="H612" s="213"/>
      <c r="I612" s="709"/>
      <c r="J612" s="709" t="s">
        <v>492</v>
      </c>
      <c r="K612" s="714" t="s">
        <v>623</v>
      </c>
      <c r="L612" s="649"/>
      <c r="M612" s="724"/>
      <c r="N612" s="724"/>
      <c r="O612" s="725"/>
      <c r="P612" s="726"/>
    </row>
    <row r="613" spans="1:16" ht="28.5" outlineLevel="1" x14ac:dyDescent="0.45">
      <c r="A613" s="209"/>
      <c r="B613" s="209"/>
      <c r="C613" s="649"/>
      <c r="D613" s="649"/>
      <c r="E613" s="213"/>
      <c r="F613" s="213"/>
      <c r="G613" s="213"/>
      <c r="H613" s="213"/>
      <c r="I613" s="709"/>
      <c r="J613" s="709"/>
      <c r="K613" s="649"/>
      <c r="L613" s="714" t="s">
        <v>624</v>
      </c>
      <c r="M613" s="733">
        <f>50/50</f>
        <v>1</v>
      </c>
      <c r="N613" s="733"/>
      <c r="O613" s="734"/>
      <c r="P613" s="735"/>
    </row>
    <row r="614" spans="1:16" ht="28.5" outlineLevel="1" x14ac:dyDescent="0.45">
      <c r="A614" s="209"/>
      <c r="B614" s="209"/>
      <c r="C614" s="649"/>
      <c r="D614" s="649"/>
      <c r="E614" s="213"/>
      <c r="F614" s="213"/>
      <c r="G614" s="213"/>
      <c r="H614" s="213"/>
      <c r="I614" s="709"/>
      <c r="J614" s="709"/>
      <c r="K614" s="649"/>
      <c r="L614" s="714" t="s">
        <v>625</v>
      </c>
      <c r="M614" s="733">
        <f>20/50</f>
        <v>0.4</v>
      </c>
      <c r="N614" s="733"/>
      <c r="O614" s="734"/>
      <c r="P614" s="735"/>
    </row>
    <row r="615" spans="1:16" outlineLevel="1" x14ac:dyDescent="0.45">
      <c r="A615" s="209"/>
      <c r="B615" s="209"/>
      <c r="C615" s="649"/>
      <c r="D615" s="649"/>
      <c r="E615" s="213"/>
      <c r="F615" s="213"/>
      <c r="G615" s="213"/>
      <c r="H615" s="213"/>
      <c r="I615" s="709"/>
      <c r="J615" s="709"/>
      <c r="K615" s="649"/>
      <c r="L615" s="732"/>
      <c r="M615" s="733"/>
      <c r="N615" s="733"/>
      <c r="O615" s="734"/>
      <c r="P615" s="735"/>
    </row>
    <row r="616" spans="1:16" ht="85.5" outlineLevel="1" x14ac:dyDescent="0.45">
      <c r="A616" s="209"/>
      <c r="B616" s="209"/>
      <c r="C616" s="649" t="s">
        <v>626</v>
      </c>
      <c r="D616" s="649" t="s">
        <v>923</v>
      </c>
      <c r="E616" s="213">
        <f>11.1%/2</f>
        <v>5.5500000000000001E-2</v>
      </c>
      <c r="F616" s="213"/>
      <c r="G616" s="213"/>
      <c r="H616" s="213"/>
      <c r="I616" s="709" t="s">
        <v>492</v>
      </c>
      <c r="J616" s="709" t="s">
        <v>492</v>
      </c>
      <c r="K616" s="714" t="s">
        <v>627</v>
      </c>
      <c r="L616" s="649"/>
      <c r="M616" s="724"/>
      <c r="N616" s="724"/>
      <c r="O616" s="725"/>
      <c r="P616" s="726"/>
    </row>
    <row r="617" spans="1:16" outlineLevel="1" x14ac:dyDescent="0.45">
      <c r="A617" s="209"/>
      <c r="B617" s="209"/>
      <c r="C617" s="649"/>
      <c r="D617" s="649"/>
      <c r="E617" s="213"/>
      <c r="F617" s="213"/>
      <c r="G617" s="213"/>
      <c r="H617" s="213"/>
      <c r="I617" s="709"/>
      <c r="J617" s="709"/>
      <c r="K617" s="649"/>
      <c r="L617" s="740" t="s">
        <v>628</v>
      </c>
      <c r="M617" s="733">
        <v>1</v>
      </c>
      <c r="N617" s="733"/>
      <c r="O617" s="734"/>
      <c r="P617" s="735"/>
    </row>
    <row r="618" spans="1:16" outlineLevel="1" x14ac:dyDescent="0.45">
      <c r="A618" s="209"/>
      <c r="B618" s="209"/>
      <c r="C618" s="649"/>
      <c r="D618" s="649"/>
      <c r="E618" s="213"/>
      <c r="F618" s="213"/>
      <c r="G618" s="213"/>
      <c r="H618" s="213"/>
      <c r="I618" s="709"/>
      <c r="J618" s="709"/>
      <c r="K618" s="649"/>
      <c r="L618" s="740" t="s">
        <v>629</v>
      </c>
      <c r="M618" s="733">
        <v>0</v>
      </c>
      <c r="N618" s="733"/>
      <c r="O618" s="734"/>
      <c r="P618" s="735"/>
    </row>
    <row r="619" spans="1:16" outlineLevel="1" x14ac:dyDescent="0.45">
      <c r="A619" s="209"/>
      <c r="B619" s="209"/>
      <c r="C619" s="649"/>
      <c r="D619" s="649"/>
      <c r="E619" s="213"/>
      <c r="F619" s="213"/>
      <c r="G619" s="213"/>
      <c r="H619" s="213"/>
      <c r="I619" s="709"/>
      <c r="J619" s="709"/>
      <c r="K619" s="649"/>
      <c r="L619" s="740"/>
      <c r="M619" s="733">
        <v>0</v>
      </c>
      <c r="N619" s="733"/>
      <c r="O619" s="734"/>
      <c r="P619" s="735"/>
    </row>
    <row r="620" spans="1:16" outlineLevel="1" x14ac:dyDescent="0.45">
      <c r="A620" s="209"/>
      <c r="B620" s="209"/>
      <c r="C620" s="649"/>
      <c r="D620" s="649"/>
      <c r="E620" s="213"/>
      <c r="F620" s="213"/>
      <c r="G620" s="213"/>
      <c r="H620" s="213"/>
      <c r="I620" s="709"/>
      <c r="J620" s="709"/>
      <c r="K620" s="649"/>
      <c r="L620" s="649"/>
      <c r="M620" s="724"/>
      <c r="N620" s="724"/>
      <c r="O620" s="725"/>
      <c r="P620" s="726"/>
    </row>
    <row r="621" spans="1:16" ht="144" customHeight="1" outlineLevel="1" x14ac:dyDescent="0.45">
      <c r="A621" s="209"/>
      <c r="B621" s="209"/>
      <c r="C621" s="649" t="s">
        <v>630</v>
      </c>
      <c r="D621" s="649" t="s">
        <v>922</v>
      </c>
      <c r="E621" s="213">
        <f>11.1%/2</f>
        <v>5.5500000000000001E-2</v>
      </c>
      <c r="F621" s="213"/>
      <c r="G621" s="213"/>
      <c r="H621" s="213"/>
      <c r="I621" s="709" t="s">
        <v>492</v>
      </c>
      <c r="J621" s="709" t="s">
        <v>492</v>
      </c>
      <c r="K621" s="714" t="s">
        <v>631</v>
      </c>
      <c r="L621" s="649"/>
      <c r="M621" s="724"/>
      <c r="N621" s="724"/>
      <c r="O621" s="725"/>
      <c r="P621" s="726"/>
    </row>
    <row r="622" spans="1:16" outlineLevel="1" x14ac:dyDescent="0.45">
      <c r="A622" s="209"/>
      <c r="B622" s="209"/>
      <c r="C622" s="649"/>
      <c r="D622" s="649"/>
      <c r="E622" s="213"/>
      <c r="F622" s="213"/>
      <c r="G622" s="213"/>
      <c r="H622" s="213"/>
      <c r="I622" s="709"/>
      <c r="J622" s="709"/>
      <c r="K622" s="649"/>
      <c r="L622" s="714" t="s">
        <v>10</v>
      </c>
      <c r="M622" s="733">
        <v>0</v>
      </c>
      <c r="N622" s="733"/>
      <c r="O622" s="734"/>
      <c r="P622" s="735"/>
    </row>
    <row r="623" spans="1:16" outlineLevel="1" x14ac:dyDescent="0.45">
      <c r="A623" s="209"/>
      <c r="B623" s="209"/>
      <c r="C623" s="649"/>
      <c r="D623" s="649"/>
      <c r="E623" s="213"/>
      <c r="F623" s="213"/>
      <c r="G623" s="213"/>
      <c r="H623" s="213"/>
      <c r="I623" s="709"/>
      <c r="J623" s="709"/>
      <c r="K623" s="649"/>
      <c r="L623" s="714" t="s">
        <v>12</v>
      </c>
      <c r="M623" s="733">
        <v>1</v>
      </c>
      <c r="N623" s="733"/>
      <c r="O623" s="734"/>
      <c r="P623" s="735"/>
    </row>
    <row r="624" spans="1:16" outlineLevel="1" x14ac:dyDescent="0.45">
      <c r="A624" s="209"/>
      <c r="B624" s="209"/>
      <c r="C624" s="649"/>
      <c r="D624" s="649"/>
      <c r="E624" s="213"/>
      <c r="F624" s="213"/>
      <c r="G624" s="213"/>
      <c r="H624" s="213"/>
      <c r="I624" s="709"/>
      <c r="J624" s="709"/>
      <c r="K624" s="649"/>
      <c r="L624" s="714"/>
      <c r="M624" s="733"/>
      <c r="N624" s="733"/>
      <c r="O624" s="734"/>
      <c r="P624" s="735"/>
    </row>
    <row r="625" spans="1:16" outlineLevel="1" x14ac:dyDescent="0.45">
      <c r="A625" s="209"/>
      <c r="B625" s="209"/>
      <c r="C625" s="649"/>
      <c r="D625" s="649"/>
      <c r="E625" s="213"/>
      <c r="F625" s="213"/>
      <c r="G625" s="213"/>
      <c r="H625" s="213"/>
      <c r="I625" s="709"/>
      <c r="J625" s="709"/>
      <c r="K625" s="649"/>
      <c r="L625" s="649"/>
      <c r="M625" s="724"/>
      <c r="N625" s="724"/>
      <c r="O625" s="725"/>
      <c r="P625" s="726"/>
    </row>
    <row r="626" spans="1:16" outlineLevel="1" x14ac:dyDescent="0.45">
      <c r="A626" s="209"/>
      <c r="B626" s="209"/>
      <c r="C626" s="649"/>
      <c r="D626" s="649"/>
      <c r="E626" s="213"/>
      <c r="F626" s="213"/>
      <c r="G626" s="213"/>
      <c r="H626" s="213"/>
      <c r="I626" s="709"/>
      <c r="J626" s="709"/>
      <c r="K626" s="649"/>
      <c r="L626" s="649"/>
      <c r="M626" s="724"/>
      <c r="N626" s="724"/>
      <c r="O626" s="725"/>
      <c r="P626" s="726"/>
    </row>
    <row r="627" spans="1:16" ht="133.5" customHeight="1" outlineLevel="1" x14ac:dyDescent="0.45">
      <c r="A627" s="209"/>
      <c r="B627" s="209"/>
      <c r="C627" s="649" t="s">
        <v>632</v>
      </c>
      <c r="D627" s="649" t="s">
        <v>923</v>
      </c>
      <c r="E627" s="213">
        <f>11.1%/2</f>
        <v>5.5500000000000001E-2</v>
      </c>
      <c r="F627" s="213"/>
      <c r="G627" s="213"/>
      <c r="H627" s="213"/>
      <c r="I627" s="709" t="s">
        <v>492</v>
      </c>
      <c r="J627" s="709" t="s">
        <v>492</v>
      </c>
      <c r="K627" s="714" t="s">
        <v>633</v>
      </c>
      <c r="L627" s="649"/>
      <c r="M627" s="724"/>
      <c r="N627" s="724"/>
      <c r="O627" s="725"/>
      <c r="P627" s="726"/>
    </row>
    <row r="628" spans="1:16" outlineLevel="1" x14ac:dyDescent="0.45">
      <c r="A628" s="209"/>
      <c r="B628" s="209"/>
      <c r="C628" s="649"/>
      <c r="D628" s="649"/>
      <c r="E628" s="213"/>
      <c r="F628" s="213"/>
      <c r="G628" s="213"/>
      <c r="H628" s="213"/>
      <c r="I628" s="709"/>
      <c r="J628" s="709"/>
      <c r="K628" s="649"/>
      <c r="L628" s="714" t="s">
        <v>10</v>
      </c>
      <c r="M628" s="733"/>
      <c r="N628" s="733"/>
      <c r="O628" s="734"/>
      <c r="P628" s="735"/>
    </row>
    <row r="629" spans="1:16" outlineLevel="1" x14ac:dyDescent="0.45">
      <c r="A629" s="209"/>
      <c r="B629" s="209"/>
      <c r="C629" s="649"/>
      <c r="D629" s="649"/>
      <c r="E629" s="213"/>
      <c r="F629" s="213"/>
      <c r="G629" s="213"/>
      <c r="H629" s="213"/>
      <c r="I629" s="709"/>
      <c r="J629" s="709"/>
      <c r="K629" s="649"/>
      <c r="L629" s="714" t="s">
        <v>12</v>
      </c>
      <c r="M629" s="733"/>
      <c r="N629" s="733"/>
      <c r="O629" s="734"/>
      <c r="P629" s="735"/>
    </row>
    <row r="630" spans="1:16" outlineLevel="1" x14ac:dyDescent="0.45">
      <c r="A630" s="209"/>
      <c r="B630" s="209"/>
      <c r="C630" s="649"/>
      <c r="D630" s="649"/>
      <c r="E630" s="213"/>
      <c r="F630" s="213"/>
      <c r="G630" s="213"/>
      <c r="H630" s="213"/>
      <c r="I630" s="709"/>
      <c r="J630" s="709"/>
      <c r="K630" s="649"/>
      <c r="L630" s="740"/>
      <c r="M630" s="733"/>
      <c r="N630" s="733"/>
      <c r="O630" s="734"/>
      <c r="P630" s="735"/>
    </row>
    <row r="631" spans="1:16" outlineLevel="1" x14ac:dyDescent="0.45">
      <c r="A631" s="209"/>
      <c r="B631" s="209"/>
      <c r="C631" s="649"/>
      <c r="D631" s="649"/>
      <c r="E631" s="213"/>
      <c r="F631" s="213"/>
      <c r="G631" s="213"/>
      <c r="H631" s="213"/>
      <c r="I631" s="709"/>
      <c r="J631" s="709"/>
      <c r="K631" s="649"/>
      <c r="L631" s="649"/>
      <c r="M631" s="724"/>
      <c r="N631" s="724"/>
      <c r="O631" s="725"/>
      <c r="P631" s="726"/>
    </row>
    <row r="632" spans="1:16" outlineLevel="1" x14ac:dyDescent="0.45">
      <c r="A632" s="209"/>
      <c r="B632" s="209"/>
      <c r="C632" s="649"/>
      <c r="D632" s="649"/>
      <c r="E632" s="213"/>
      <c r="F632" s="213"/>
      <c r="G632" s="213"/>
      <c r="H632" s="213"/>
      <c r="I632" s="709"/>
      <c r="J632" s="709"/>
      <c r="K632" s="649"/>
      <c r="L632" s="649"/>
      <c r="M632" s="724"/>
      <c r="N632" s="724"/>
      <c r="O632" s="725"/>
      <c r="P632" s="726"/>
    </row>
    <row r="633" spans="1:16" ht="99.75" outlineLevel="1" x14ac:dyDescent="0.45">
      <c r="A633" s="209" t="s">
        <v>634</v>
      </c>
      <c r="B633" s="209"/>
      <c r="C633" s="649" t="s">
        <v>635</v>
      </c>
      <c r="D633" s="649" t="s">
        <v>924</v>
      </c>
      <c r="E633" s="213">
        <f>8.3%+6.7%+6.7%</f>
        <v>0.21700000000000003</v>
      </c>
      <c r="F633" s="213"/>
      <c r="G633" s="213"/>
      <c r="H633" s="213"/>
      <c r="I633" s="709" t="s">
        <v>492</v>
      </c>
      <c r="J633" s="709"/>
      <c r="K633" s="714" t="s">
        <v>636</v>
      </c>
      <c r="L633" s="714" t="s">
        <v>637</v>
      </c>
      <c r="M633" s="724"/>
      <c r="N633" s="724"/>
      <c r="O633" s="725"/>
      <c r="P633" s="726"/>
    </row>
    <row r="634" spans="1:16" outlineLevel="1" x14ac:dyDescent="0.45">
      <c r="A634" s="209"/>
      <c r="B634" s="209"/>
      <c r="C634" s="649"/>
      <c r="D634" s="649"/>
      <c r="E634" s="213"/>
      <c r="F634" s="213"/>
      <c r="G634" s="213"/>
      <c r="H634" s="213"/>
      <c r="I634" s="709"/>
      <c r="J634" s="709"/>
      <c r="K634" s="649"/>
      <c r="L634" s="732"/>
      <c r="M634" s="733"/>
      <c r="N634" s="733"/>
      <c r="O634" s="734"/>
      <c r="P634" s="735"/>
    </row>
    <row r="635" spans="1:16" outlineLevel="1" x14ac:dyDescent="0.45">
      <c r="A635" s="209"/>
      <c r="B635" s="209"/>
      <c r="C635" s="649"/>
      <c r="D635" s="649"/>
      <c r="E635" s="213"/>
      <c r="F635" s="213"/>
      <c r="G635" s="213"/>
      <c r="H635" s="213"/>
      <c r="I635" s="709"/>
      <c r="J635" s="709"/>
      <c r="K635" s="649"/>
      <c r="L635" s="732"/>
      <c r="M635" s="733"/>
      <c r="N635" s="733"/>
      <c r="O635" s="734"/>
      <c r="P635" s="735"/>
    </row>
    <row r="636" spans="1:16" outlineLevel="1" x14ac:dyDescent="0.45">
      <c r="A636" s="209"/>
      <c r="B636" s="209"/>
      <c r="C636" s="649"/>
      <c r="D636" s="649"/>
      <c r="E636" s="213"/>
      <c r="F636" s="213"/>
      <c r="G636" s="213"/>
      <c r="H636" s="213"/>
      <c r="I636" s="709"/>
      <c r="J636" s="709"/>
      <c r="K636" s="649"/>
      <c r="L636" s="732"/>
      <c r="M636" s="733"/>
      <c r="N636" s="733"/>
      <c r="O636" s="734"/>
      <c r="P636" s="735"/>
    </row>
    <row r="637" spans="1:16" outlineLevel="1" x14ac:dyDescent="0.45">
      <c r="A637" s="209"/>
      <c r="B637" s="209"/>
      <c r="C637" s="649"/>
      <c r="D637" s="649"/>
      <c r="E637" s="213"/>
      <c r="F637" s="213"/>
      <c r="G637" s="213"/>
      <c r="H637" s="213"/>
      <c r="I637" s="709"/>
      <c r="J637" s="709"/>
      <c r="K637" s="649"/>
      <c r="L637" s="649"/>
      <c r="M637" s="724"/>
      <c r="N637" s="724"/>
      <c r="O637" s="725"/>
      <c r="P637" s="726"/>
    </row>
    <row r="638" spans="1:16" ht="71.25" outlineLevel="1" x14ac:dyDescent="0.45">
      <c r="A638" s="209"/>
      <c r="B638" s="209"/>
      <c r="C638" s="649" t="s">
        <v>638</v>
      </c>
      <c r="D638" s="649" t="s">
        <v>925</v>
      </c>
      <c r="E638" s="213">
        <v>0.05</v>
      </c>
      <c r="F638" s="213"/>
      <c r="G638" s="213"/>
      <c r="H638" s="213"/>
      <c r="I638" s="709" t="s">
        <v>492</v>
      </c>
      <c r="J638" s="709"/>
      <c r="K638" s="714" t="s">
        <v>639</v>
      </c>
      <c r="L638" s="714" t="s">
        <v>640</v>
      </c>
      <c r="M638" s="724"/>
      <c r="N638" s="724"/>
      <c r="O638" s="725"/>
      <c r="P638" s="726"/>
    </row>
    <row r="639" spans="1:16" outlineLevel="1" x14ac:dyDescent="0.45">
      <c r="A639" s="209"/>
      <c r="B639" s="209"/>
      <c r="C639" s="649"/>
      <c r="D639" s="649"/>
      <c r="E639" s="213"/>
      <c r="F639" s="213"/>
      <c r="G639" s="213"/>
      <c r="H639" s="213"/>
      <c r="I639" s="709"/>
      <c r="J639" s="709"/>
      <c r="K639" s="649"/>
      <c r="L639" s="732"/>
      <c r="M639" s="733"/>
      <c r="N639" s="733"/>
      <c r="O639" s="734"/>
      <c r="P639" s="735"/>
    </row>
    <row r="640" spans="1:16" outlineLevel="1" x14ac:dyDescent="0.45">
      <c r="A640" s="209"/>
      <c r="B640" s="209"/>
      <c r="C640" s="649"/>
      <c r="D640" s="649"/>
      <c r="E640" s="213"/>
      <c r="F640" s="213"/>
      <c r="G640" s="213"/>
      <c r="H640" s="213"/>
      <c r="I640" s="709"/>
      <c r="J640" s="709"/>
      <c r="K640" s="649"/>
      <c r="L640" s="732"/>
      <c r="M640" s="733"/>
      <c r="N640" s="733"/>
      <c r="O640" s="734"/>
      <c r="P640" s="735"/>
    </row>
    <row r="641" spans="1:16" outlineLevel="1" x14ac:dyDescent="0.45">
      <c r="A641" s="209"/>
      <c r="B641" s="209"/>
      <c r="C641" s="649"/>
      <c r="D641" s="649"/>
      <c r="E641" s="213"/>
      <c r="F641" s="213"/>
      <c r="G641" s="213"/>
      <c r="H641" s="213"/>
      <c r="I641" s="709"/>
      <c r="J641" s="709"/>
      <c r="K641" s="649"/>
      <c r="L641" s="732"/>
      <c r="M641" s="733"/>
      <c r="N641" s="733"/>
      <c r="O641" s="734"/>
      <c r="P641" s="735"/>
    </row>
    <row r="642" spans="1:16" outlineLevel="1" x14ac:dyDescent="0.45">
      <c r="A642" s="209"/>
      <c r="B642" s="209"/>
      <c r="C642" s="649"/>
      <c r="D642" s="649"/>
      <c r="E642" s="213"/>
      <c r="F642" s="213"/>
      <c r="G642" s="213"/>
      <c r="H642" s="213"/>
      <c r="I642" s="709"/>
      <c r="J642" s="709"/>
      <c r="K642" s="649"/>
      <c r="L642" s="649"/>
      <c r="M642" s="724"/>
      <c r="N642" s="724"/>
      <c r="O642" s="725"/>
      <c r="P642" s="726"/>
    </row>
    <row r="643" spans="1:16" ht="85.5" outlineLevel="1" x14ac:dyDescent="0.45">
      <c r="A643" s="209"/>
      <c r="B643" s="209"/>
      <c r="C643" s="649" t="s">
        <v>641</v>
      </c>
      <c r="D643" s="649" t="s">
        <v>926</v>
      </c>
      <c r="E643" s="213">
        <v>6.7000000000000004E-2</v>
      </c>
      <c r="F643" s="213"/>
      <c r="G643" s="213"/>
      <c r="H643" s="213"/>
      <c r="I643" s="709" t="s">
        <v>492</v>
      </c>
      <c r="J643" s="709"/>
      <c r="K643" s="714" t="s">
        <v>642</v>
      </c>
      <c r="L643" s="714" t="s">
        <v>643</v>
      </c>
      <c r="M643" s="724"/>
      <c r="N643" s="724"/>
      <c r="O643" s="725"/>
      <c r="P643" s="726"/>
    </row>
    <row r="644" spans="1:16" outlineLevel="1" x14ac:dyDescent="0.45">
      <c r="A644" s="209"/>
      <c r="B644" s="209"/>
      <c r="C644" s="649"/>
      <c r="D644" s="649"/>
      <c r="E644" s="213"/>
      <c r="F644" s="213"/>
      <c r="G644" s="213"/>
      <c r="H644" s="213"/>
      <c r="I644" s="709"/>
      <c r="J644" s="709"/>
      <c r="K644" s="649"/>
      <c r="L644" s="732"/>
      <c r="M644" s="733"/>
      <c r="N644" s="733"/>
      <c r="O644" s="734"/>
      <c r="P644" s="735"/>
    </row>
    <row r="645" spans="1:16" outlineLevel="1" x14ac:dyDescent="0.45">
      <c r="A645" s="209"/>
      <c r="B645" s="209"/>
      <c r="C645" s="649"/>
      <c r="D645" s="649"/>
      <c r="E645" s="213"/>
      <c r="F645" s="213"/>
      <c r="G645" s="213"/>
      <c r="H645" s="213"/>
      <c r="I645" s="709"/>
      <c r="J645" s="709"/>
      <c r="K645" s="649"/>
      <c r="L645" s="732"/>
      <c r="M645" s="733"/>
      <c r="N645" s="733"/>
      <c r="O645" s="734"/>
      <c r="P645" s="735"/>
    </row>
    <row r="646" spans="1:16" outlineLevel="1" x14ac:dyDescent="0.45">
      <c r="A646" s="209"/>
      <c r="B646" s="209"/>
      <c r="C646" s="649"/>
      <c r="D646" s="649"/>
      <c r="E646" s="213"/>
      <c r="F646" s="213"/>
      <c r="G646" s="213"/>
      <c r="H646" s="213"/>
      <c r="I646" s="709"/>
      <c r="J646" s="709"/>
      <c r="K646" s="649"/>
      <c r="L646" s="732"/>
      <c r="M646" s="733"/>
      <c r="N646" s="733"/>
      <c r="O646" s="734"/>
      <c r="P646" s="735"/>
    </row>
    <row r="647" spans="1:16" outlineLevel="1" x14ac:dyDescent="0.45">
      <c r="A647" s="209"/>
      <c r="B647" s="209"/>
      <c r="C647" s="649"/>
      <c r="D647" s="649"/>
      <c r="E647" s="213"/>
      <c r="F647" s="213"/>
      <c r="G647" s="213"/>
      <c r="H647" s="213"/>
      <c r="I647" s="709"/>
      <c r="J647" s="709"/>
      <c r="K647" s="649"/>
      <c r="L647" s="649"/>
      <c r="M647" s="724"/>
      <c r="N647" s="724"/>
      <c r="O647" s="725"/>
      <c r="P647" s="726"/>
    </row>
    <row r="648" spans="1:16" ht="199.5" outlineLevel="1" x14ac:dyDescent="0.45">
      <c r="A648" s="209" t="s">
        <v>644</v>
      </c>
      <c r="B648" s="209"/>
      <c r="C648" s="649" t="s">
        <v>645</v>
      </c>
      <c r="D648" s="649" t="s">
        <v>115</v>
      </c>
      <c r="E648" s="213">
        <v>0.222</v>
      </c>
      <c r="F648" s="213"/>
      <c r="G648" s="213"/>
      <c r="H648" s="213"/>
      <c r="I648" s="709" t="s">
        <v>492</v>
      </c>
      <c r="J648" s="709"/>
      <c r="K648" s="714" t="s">
        <v>646</v>
      </c>
      <c r="L648" s="714" t="s">
        <v>647</v>
      </c>
      <c r="M648" s="724"/>
      <c r="N648" s="724"/>
      <c r="O648" s="725"/>
      <c r="P648" s="726"/>
    </row>
    <row r="649" spans="1:16" ht="99.75" outlineLevel="1" x14ac:dyDescent="0.45">
      <c r="A649" s="209"/>
      <c r="B649" s="209"/>
      <c r="C649" s="649"/>
      <c r="D649" s="649"/>
      <c r="E649" s="213"/>
      <c r="F649" s="213"/>
      <c r="G649" s="213"/>
      <c r="H649" s="213"/>
      <c r="I649" s="709"/>
      <c r="J649" s="709"/>
      <c r="K649" s="714" t="s">
        <v>648</v>
      </c>
      <c r="L649" s="714" t="s">
        <v>647</v>
      </c>
      <c r="M649" s="733"/>
      <c r="N649" s="733"/>
      <c r="O649" s="734"/>
      <c r="P649" s="735"/>
    </row>
    <row r="650" spans="1:16" ht="147" customHeight="1" outlineLevel="1" x14ac:dyDescent="0.45">
      <c r="A650" s="209"/>
      <c r="B650" s="209"/>
      <c r="C650" s="649"/>
      <c r="D650" s="649"/>
      <c r="E650" s="213"/>
      <c r="F650" s="213"/>
      <c r="G650" s="213"/>
      <c r="H650" s="213"/>
      <c r="I650" s="709"/>
      <c r="J650" s="709"/>
      <c r="K650" s="714" t="s">
        <v>649</v>
      </c>
      <c r="L650" s="714" t="s">
        <v>650</v>
      </c>
      <c r="M650" s="733"/>
      <c r="N650" s="733"/>
      <c r="O650" s="734"/>
      <c r="P650" s="735"/>
    </row>
    <row r="651" spans="1:16" outlineLevel="1" x14ac:dyDescent="0.45">
      <c r="A651" s="209"/>
      <c r="B651" s="209"/>
      <c r="C651" s="649"/>
      <c r="D651" s="649"/>
      <c r="E651" s="213"/>
      <c r="F651" s="213"/>
      <c r="G651" s="213"/>
      <c r="H651" s="213"/>
      <c r="I651" s="709"/>
      <c r="J651" s="709"/>
      <c r="K651" s="649"/>
      <c r="L651" s="649"/>
      <c r="M651" s="724"/>
      <c r="N651" s="724"/>
      <c r="O651" s="725"/>
      <c r="P651" s="726"/>
    </row>
    <row r="654" spans="1:16" x14ac:dyDescent="0.45">
      <c r="G654" s="218"/>
      <c r="H654" s="218"/>
    </row>
    <row r="655" spans="1:16" x14ac:dyDescent="0.45">
      <c r="G655" s="218"/>
      <c r="H655" s="218"/>
    </row>
    <row r="656" spans="1:16" x14ac:dyDescent="0.45">
      <c r="G656" s="218"/>
      <c r="H656" s="218"/>
    </row>
    <row r="657" spans="7:20" x14ac:dyDescent="0.45">
      <c r="G657" s="218"/>
      <c r="H657" s="218"/>
    </row>
    <row r="658" spans="7:20" x14ac:dyDescent="0.45">
      <c r="G658" s="218"/>
      <c r="H658" s="218"/>
    </row>
    <row r="659" spans="7:20" x14ac:dyDescent="0.45">
      <c r="G659" s="218"/>
      <c r="H659" s="218"/>
    </row>
    <row r="660" spans="7:20" x14ac:dyDescent="0.45">
      <c r="G660" s="218"/>
      <c r="H660" s="218"/>
    </row>
    <row r="661" spans="7:20" x14ac:dyDescent="0.45">
      <c r="G661" s="218"/>
      <c r="H661" s="218"/>
    </row>
    <row r="662" spans="7:20" x14ac:dyDescent="0.45">
      <c r="G662" s="218"/>
      <c r="H662" s="218"/>
    </row>
    <row r="663" spans="7:20" x14ac:dyDescent="0.45">
      <c r="G663" s="218"/>
      <c r="H663" s="218"/>
    </row>
    <row r="664" spans="7:20" x14ac:dyDescent="0.45">
      <c r="G664" s="218"/>
      <c r="H664" s="218"/>
    </row>
    <row r="665" spans="7:20" x14ac:dyDescent="0.45">
      <c r="G665" s="218"/>
      <c r="H665" s="218"/>
    </row>
    <row r="666" spans="7:20" x14ac:dyDescent="0.45">
      <c r="G666" s="218"/>
      <c r="H666" s="218"/>
    </row>
    <row r="667" spans="7:20" x14ac:dyDescent="0.45">
      <c r="G667" s="218"/>
      <c r="H667" s="218"/>
    </row>
    <row r="669" spans="7:20" x14ac:dyDescent="0.45">
      <c r="H669" s="219"/>
      <c r="R669" s="216"/>
      <c r="S669" s="216"/>
      <c r="T669" s="216"/>
    </row>
    <row r="670" spans="7:20" x14ac:dyDescent="0.45">
      <c r="H670" s="219"/>
      <c r="R670" s="216"/>
      <c r="S670" s="216"/>
      <c r="T670" s="216"/>
    </row>
    <row r="671" spans="7:20" x14ac:dyDescent="0.45">
      <c r="H671" s="219"/>
      <c r="R671" s="216"/>
      <c r="S671" s="216"/>
      <c r="T671" s="216"/>
    </row>
    <row r="672" spans="7:20" x14ac:dyDescent="0.45">
      <c r="H672" s="219"/>
      <c r="R672" s="216"/>
      <c r="S672" s="216"/>
      <c r="T672" s="216"/>
    </row>
    <row r="673" spans="4:20" x14ac:dyDescent="0.45">
      <c r="H673" s="219"/>
      <c r="R673" s="216"/>
      <c r="S673" s="216"/>
      <c r="T673" s="216"/>
    </row>
    <row r="676" spans="4:20" x14ac:dyDescent="0.45">
      <c r="D676" s="214"/>
      <c r="E676" s="218"/>
      <c r="F676" s="218"/>
      <c r="G676" s="218"/>
      <c r="H676" s="218"/>
    </row>
    <row r="677" spans="4:20" x14ac:dyDescent="0.45">
      <c r="E677" s="218"/>
      <c r="F677" s="218"/>
      <c r="G677" s="218"/>
      <c r="H677" s="218"/>
    </row>
    <row r="678" spans="4:20" x14ac:dyDescent="0.45">
      <c r="E678" s="218"/>
      <c r="F678" s="218"/>
      <c r="G678" s="218"/>
      <c r="H678" s="218"/>
    </row>
    <row r="679" spans="4:20" x14ac:dyDescent="0.45">
      <c r="E679" s="218"/>
      <c r="F679" s="218"/>
      <c r="G679" s="218"/>
      <c r="H679" s="218"/>
    </row>
    <row r="680" spans="4:20" x14ac:dyDescent="0.45">
      <c r="E680" s="218"/>
      <c r="F680" s="218"/>
      <c r="G680" s="218"/>
      <c r="H680" s="218"/>
    </row>
    <row r="681" spans="4:20" x14ac:dyDescent="0.45">
      <c r="E681" s="218"/>
      <c r="F681" s="218"/>
      <c r="G681" s="218"/>
      <c r="H681" s="218"/>
    </row>
    <row r="682" spans="4:20" x14ac:dyDescent="0.45">
      <c r="E682" s="218"/>
      <c r="F682" s="218"/>
      <c r="G682" s="218"/>
      <c r="H682" s="218"/>
    </row>
    <row r="683" spans="4:20" x14ac:dyDescent="0.45">
      <c r="E683" s="218"/>
      <c r="F683" s="218"/>
      <c r="G683" s="218"/>
      <c r="H683" s="218"/>
    </row>
    <row r="684" spans="4:20" x14ac:dyDescent="0.45">
      <c r="E684" s="218"/>
      <c r="F684" s="218"/>
      <c r="G684" s="218"/>
      <c r="H684" s="218"/>
    </row>
    <row r="685" spans="4:20" x14ac:dyDescent="0.45">
      <c r="E685" s="218"/>
      <c r="F685" s="218"/>
      <c r="G685" s="218"/>
      <c r="H685" s="218"/>
    </row>
    <row r="686" spans="4:20" x14ac:dyDescent="0.45">
      <c r="E686" s="218"/>
      <c r="F686" s="218"/>
      <c r="G686" s="218"/>
      <c r="H686" s="218"/>
    </row>
    <row r="687" spans="4:20" x14ac:dyDescent="0.45">
      <c r="E687" s="218"/>
      <c r="F687" s="218"/>
      <c r="G687" s="218"/>
      <c r="H687" s="218"/>
    </row>
    <row r="688" spans="4:20" x14ac:dyDescent="0.45">
      <c r="E688" s="218"/>
      <c r="F688" s="218"/>
      <c r="G688" s="218"/>
      <c r="H688" s="218"/>
    </row>
    <row r="689" spans="4:8" x14ac:dyDescent="0.45">
      <c r="E689" s="218"/>
      <c r="F689" s="218"/>
      <c r="G689" s="218"/>
      <c r="H689" s="218"/>
    </row>
    <row r="691" spans="4:8" x14ac:dyDescent="0.45">
      <c r="H691" s="218"/>
    </row>
    <row r="693" spans="4:8" x14ac:dyDescent="0.45">
      <c r="D693" s="214"/>
    </row>
  </sheetData>
  <sheetProtection sheet="1" selectLockedCells="1"/>
  <mergeCells count="1">
    <mergeCell ref="F1:G1"/>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2">
    <tabColor theme="0"/>
  </sheetPr>
  <dimension ref="A1:AU332"/>
  <sheetViews>
    <sheetView topLeftCell="A74" zoomScaleNormal="100" workbookViewId="0">
      <selection activeCell="J91" sqref="J91"/>
    </sheetView>
  </sheetViews>
  <sheetFormatPr defaultColWidth="11.265625" defaultRowHeight="13.15" x14ac:dyDescent="0.45"/>
  <cols>
    <col min="1" max="1" width="1.73046875" style="336" customWidth="1"/>
    <col min="2" max="2" width="9.265625" style="331" customWidth="1"/>
    <col min="3" max="3" width="11.3984375" style="332" customWidth="1"/>
    <col min="4" max="4" width="40.73046875" style="332" bestFit="1" customWidth="1"/>
    <col min="5" max="5" width="9.265625" style="336" bestFit="1" customWidth="1"/>
    <col min="6" max="6" width="10.73046875" style="336" bestFit="1" customWidth="1"/>
    <col min="7" max="7" width="9.265625" style="350" customWidth="1"/>
    <col min="8" max="8" width="5.73046875" style="334" customWidth="1"/>
    <col min="9" max="9" width="6.73046875" style="335" customWidth="1"/>
    <col min="10" max="10" width="4.73046875" style="336" customWidth="1"/>
    <col min="11" max="11" width="8.265625" style="337" customWidth="1"/>
    <col min="12" max="12" width="11.59765625" style="337" customWidth="1"/>
    <col min="13" max="13" width="9.73046875" style="338" customWidth="1"/>
    <col min="14" max="14" width="10.73046875" style="338" customWidth="1"/>
    <col min="15" max="15" width="12.73046875" style="339" customWidth="1"/>
    <col min="16" max="16" width="15.265625" style="336" customWidth="1"/>
    <col min="17" max="17" width="8.265625" style="336" customWidth="1"/>
    <col min="18" max="18" width="6.73046875" style="336" customWidth="1"/>
    <col min="19" max="20" width="8.73046875" style="336" customWidth="1"/>
    <col min="21" max="21" width="9.73046875" style="336" customWidth="1"/>
    <col min="22" max="22" width="6.265625" style="336" customWidth="1"/>
    <col min="23" max="23" width="15.73046875" style="336" customWidth="1"/>
    <col min="24" max="24" width="10.73046875" style="336" customWidth="1"/>
    <col min="25" max="25" width="5.73046875" style="336" customWidth="1"/>
    <col min="26" max="26" width="12.73046875" style="340" customWidth="1"/>
    <col min="27" max="27" width="16.265625" style="341" customWidth="1"/>
    <col min="28" max="47" width="20.265625" style="341" customWidth="1"/>
    <col min="48" max="16384" width="11.265625" style="336"/>
  </cols>
  <sheetData>
    <row r="1" spans="1:47" ht="15" customHeight="1" thickBot="1" x14ac:dyDescent="0.5">
      <c r="A1" s="330"/>
      <c r="E1" s="331"/>
      <c r="F1" s="333"/>
      <c r="G1" s="333"/>
    </row>
    <row r="2" spans="1:47" ht="15.75" customHeight="1" thickBot="1" x14ac:dyDescent="0.5">
      <c r="A2" s="342"/>
      <c r="B2" s="839" t="s">
        <v>764</v>
      </c>
      <c r="C2" s="839"/>
      <c r="D2" s="840" t="s">
        <v>765</v>
      </c>
      <c r="E2" s="840"/>
      <c r="F2" s="840"/>
      <c r="G2" s="343" t="s">
        <v>214</v>
      </c>
      <c r="H2" s="830">
        <f>O54</f>
        <v>0</v>
      </c>
      <c r="I2" s="831"/>
      <c r="M2" s="346" t="s">
        <v>766</v>
      </c>
      <c r="N2" s="347">
        <f>O168</f>
        <v>0</v>
      </c>
      <c r="O2" s="826" t="s">
        <v>767</v>
      </c>
      <c r="P2" s="344"/>
      <c r="Q2" s="345"/>
      <c r="R2" s="345"/>
      <c r="U2" s="348"/>
      <c r="V2" s="349"/>
      <c r="Y2" s="350"/>
      <c r="Z2" s="351"/>
    </row>
    <row r="3" spans="1:47" ht="15.75" customHeight="1" thickBot="1" x14ac:dyDescent="0.5">
      <c r="A3" s="330"/>
      <c r="B3" s="828" t="s">
        <v>768</v>
      </c>
      <c r="C3" s="828"/>
      <c r="D3" s="829"/>
      <c r="E3" s="829"/>
      <c r="F3" s="829"/>
      <c r="G3" s="352" t="s">
        <v>769</v>
      </c>
      <c r="H3" s="830">
        <f>O78</f>
        <v>0</v>
      </c>
      <c r="I3" s="831"/>
      <c r="M3" s="346" t="s">
        <v>770</v>
      </c>
      <c r="N3" s="347">
        <f>O12</f>
        <v>0</v>
      </c>
      <c r="O3" s="827"/>
      <c r="P3" s="345"/>
      <c r="Q3" s="345"/>
      <c r="R3" s="345"/>
      <c r="V3" s="353"/>
      <c r="Y3" s="350"/>
      <c r="Z3" s="351"/>
      <c r="AN3" s="332"/>
    </row>
    <row r="4" spans="1:47" ht="15.75" customHeight="1" thickBot="1" x14ac:dyDescent="0.5">
      <c r="A4" s="342"/>
      <c r="B4" s="832" t="s">
        <v>771</v>
      </c>
      <c r="C4" s="832"/>
      <c r="D4" s="833"/>
      <c r="E4" s="833"/>
      <c r="F4" s="833"/>
      <c r="G4" s="343" t="s">
        <v>772</v>
      </c>
      <c r="H4" s="830">
        <f>O96</f>
        <v>0</v>
      </c>
      <c r="I4" s="831"/>
      <c r="M4" s="346" t="s">
        <v>773</v>
      </c>
      <c r="N4" s="347">
        <f>O209</f>
        <v>0</v>
      </c>
      <c r="O4" s="354">
        <f>Q12</f>
        <v>0</v>
      </c>
      <c r="P4" s="345"/>
      <c r="Q4" s="345"/>
      <c r="R4" s="345"/>
      <c r="V4" s="353"/>
      <c r="Z4" s="351"/>
    </row>
    <row r="5" spans="1:47" ht="4.5" customHeight="1" x14ac:dyDescent="0.45">
      <c r="A5" s="342"/>
      <c r="B5" s="336"/>
      <c r="C5" s="336"/>
      <c r="D5" s="336"/>
      <c r="G5" s="336"/>
      <c r="H5" s="336"/>
      <c r="K5" s="336"/>
      <c r="L5" s="336"/>
      <c r="M5" s="336"/>
      <c r="N5" s="336"/>
      <c r="O5" s="336"/>
      <c r="Z5" s="351"/>
    </row>
    <row r="6" spans="1:47" ht="15" customHeight="1" x14ac:dyDescent="0.45">
      <c r="A6" s="342"/>
      <c r="B6" s="834" t="s">
        <v>774</v>
      </c>
      <c r="C6" s="834"/>
      <c r="D6" s="835" t="s">
        <v>775</v>
      </c>
      <c r="E6" s="835"/>
      <c r="F6" s="835"/>
      <c r="G6" s="836" t="s">
        <v>776</v>
      </c>
      <c r="H6" s="837"/>
      <c r="I6" s="837"/>
      <c r="J6" s="838"/>
      <c r="K6" s="355"/>
      <c r="L6" s="355"/>
      <c r="M6" s="355"/>
      <c r="N6" s="355"/>
      <c r="O6" s="355"/>
      <c r="P6" s="355"/>
      <c r="Q6" s="355"/>
      <c r="R6" s="355"/>
      <c r="S6" s="814"/>
      <c r="T6" s="815"/>
      <c r="U6" s="816"/>
      <c r="V6" s="355"/>
      <c r="W6" s="811"/>
      <c r="X6" s="812"/>
      <c r="Y6" s="813"/>
      <c r="Z6" s="351"/>
    </row>
    <row r="7" spans="1:47" ht="4.5" customHeight="1" x14ac:dyDescent="0.45">
      <c r="A7" s="342"/>
      <c r="B7" s="356"/>
      <c r="C7" s="356"/>
      <c r="D7" s="356"/>
      <c r="E7" s="356"/>
      <c r="F7" s="356"/>
      <c r="G7" s="356"/>
      <c r="H7" s="356"/>
      <c r="I7" s="357"/>
      <c r="J7" s="356"/>
      <c r="K7" s="356"/>
      <c r="L7" s="356"/>
      <c r="M7" s="356"/>
      <c r="N7" s="356"/>
      <c r="O7" s="356"/>
      <c r="P7" s="356"/>
      <c r="Q7" s="356"/>
      <c r="R7" s="356"/>
      <c r="S7" s="356"/>
      <c r="T7" s="356"/>
      <c r="U7" s="356"/>
      <c r="V7" s="356"/>
      <c r="W7" s="356"/>
      <c r="Y7" s="350"/>
      <c r="Z7" s="351"/>
    </row>
    <row r="8" spans="1:47" ht="20.25" customHeight="1" x14ac:dyDescent="0.45">
      <c r="A8" s="342"/>
      <c r="B8" s="853" t="s">
        <v>777</v>
      </c>
      <c r="C8" s="853"/>
      <c r="D8" s="853"/>
      <c r="E8" s="853"/>
      <c r="F8" s="853"/>
      <c r="G8" s="853"/>
      <c r="H8" s="853"/>
      <c r="I8" s="853"/>
      <c r="J8" s="853"/>
      <c r="K8" s="853"/>
      <c r="L8" s="853"/>
      <c r="M8" s="853"/>
      <c r="N8" s="853"/>
      <c r="O8" s="853"/>
      <c r="P8" s="853"/>
      <c r="Q8" s="853"/>
      <c r="R8" s="853"/>
      <c r="S8" s="853"/>
      <c r="T8" s="853"/>
      <c r="U8" s="853"/>
      <c r="V8" s="853"/>
      <c r="W8" s="853"/>
      <c r="X8" s="853"/>
      <c r="Y8" s="853"/>
      <c r="Z8" s="351"/>
    </row>
    <row r="9" spans="1:47" ht="4.5" customHeight="1" thickBot="1" x14ac:dyDescent="0.5"/>
    <row r="10" spans="1:47" ht="43.5" customHeight="1" x14ac:dyDescent="0.45">
      <c r="B10" s="854" t="s">
        <v>778</v>
      </c>
      <c r="C10" s="854" t="s">
        <v>233</v>
      </c>
      <c r="D10" s="854" t="s">
        <v>234</v>
      </c>
      <c r="E10" s="847" t="s">
        <v>779</v>
      </c>
      <c r="F10" s="848"/>
      <c r="G10" s="848"/>
      <c r="H10" s="845" t="s">
        <v>780</v>
      </c>
      <c r="I10" s="843" t="s">
        <v>781</v>
      </c>
      <c r="J10" s="856"/>
      <c r="K10" s="841" t="s">
        <v>782</v>
      </c>
      <c r="L10" s="841" t="s">
        <v>783</v>
      </c>
      <c r="M10" s="843" t="s">
        <v>784</v>
      </c>
      <c r="N10" s="844"/>
      <c r="O10" s="841" t="s">
        <v>785</v>
      </c>
      <c r="P10" s="845" t="s">
        <v>786</v>
      </c>
      <c r="Q10" s="845" t="s">
        <v>787</v>
      </c>
      <c r="R10" s="358"/>
      <c r="S10" s="847" t="s">
        <v>788</v>
      </c>
      <c r="T10" s="848"/>
      <c r="U10" s="848"/>
      <c r="V10" s="848"/>
      <c r="W10" s="848"/>
      <c r="X10" s="848"/>
      <c r="Y10" s="849"/>
      <c r="Z10" s="359"/>
      <c r="AA10" s="360"/>
      <c r="AB10" s="360"/>
      <c r="AC10" s="360"/>
      <c r="AD10" s="360"/>
      <c r="AE10" s="360"/>
      <c r="AF10" s="360"/>
      <c r="AG10" s="360"/>
      <c r="AH10" s="360"/>
      <c r="AI10" s="360"/>
      <c r="AJ10" s="360"/>
      <c r="AK10" s="360"/>
      <c r="AL10" s="360"/>
      <c r="AM10" s="360"/>
      <c r="AN10" s="360"/>
      <c r="AO10" s="360"/>
      <c r="AP10" s="360"/>
      <c r="AQ10" s="360"/>
      <c r="AR10" s="360"/>
      <c r="AS10" s="360"/>
      <c r="AT10" s="360"/>
      <c r="AU10" s="360"/>
    </row>
    <row r="11" spans="1:47" ht="43.5" customHeight="1" thickBot="1" x14ac:dyDescent="0.5">
      <c r="B11" s="855"/>
      <c r="C11" s="855"/>
      <c r="D11" s="855"/>
      <c r="E11" s="361" t="s">
        <v>789</v>
      </c>
      <c r="F11" s="362" t="s">
        <v>790</v>
      </c>
      <c r="G11" s="363" t="s">
        <v>791</v>
      </c>
      <c r="H11" s="846"/>
      <c r="I11" s="364" t="s">
        <v>792</v>
      </c>
      <c r="J11" s="365" t="s">
        <v>791</v>
      </c>
      <c r="K11" s="842"/>
      <c r="L11" s="842"/>
      <c r="M11" s="366" t="s">
        <v>792</v>
      </c>
      <c r="N11" s="367" t="s">
        <v>791</v>
      </c>
      <c r="O11" s="842"/>
      <c r="P11" s="846"/>
      <c r="Q11" s="846"/>
      <c r="R11" s="358"/>
      <c r="S11" s="850"/>
      <c r="T11" s="851"/>
      <c r="U11" s="851"/>
      <c r="V11" s="851"/>
      <c r="W11" s="851"/>
      <c r="X11" s="851"/>
      <c r="Y11" s="852"/>
      <c r="Z11" s="368"/>
      <c r="AA11" s="360" t="s">
        <v>793</v>
      </c>
      <c r="AB11" s="360"/>
      <c r="AC11" s="360"/>
      <c r="AD11" s="360"/>
      <c r="AE11" s="360"/>
      <c r="AF11" s="360"/>
      <c r="AG11" s="360"/>
      <c r="AH11" s="360"/>
      <c r="AI11" s="360"/>
      <c r="AJ11" s="360"/>
      <c r="AK11" s="360"/>
      <c r="AL11" s="360"/>
      <c r="AM11" s="360"/>
      <c r="AN11" s="360"/>
      <c r="AO11" s="360"/>
      <c r="AP11" s="360"/>
      <c r="AQ11" s="360"/>
      <c r="AR11" s="360"/>
      <c r="AS11" s="360"/>
      <c r="AT11" s="360"/>
      <c r="AU11" s="360"/>
    </row>
    <row r="12" spans="1:47" s="382" customFormat="1" ht="18" customHeight="1" thickBot="1" x14ac:dyDescent="0.5">
      <c r="A12" s="369"/>
      <c r="B12" s="370" t="s">
        <v>411</v>
      </c>
      <c r="C12" s="863" t="s">
        <v>412</v>
      </c>
      <c r="D12" s="864"/>
      <c r="E12" s="371">
        <f>IF(SUM(F13:F15)&lt;AA12,0,IF(SUM(F13:F15)&gt;100,100,SUM(F13:F15)))</f>
        <v>0</v>
      </c>
      <c r="F12" s="372"/>
      <c r="G12" s="373">
        <v>100</v>
      </c>
      <c r="H12" s="373">
        <v>3</v>
      </c>
      <c r="I12" s="374">
        <f>ROUND(E12*H12,0)</f>
        <v>0</v>
      </c>
      <c r="J12" s="375">
        <f>G12*H12</f>
        <v>300</v>
      </c>
      <c r="K12" s="376">
        <f>ROUND(I12/J12,3)</f>
        <v>0</v>
      </c>
      <c r="L12" s="377">
        <f>J12/N$12*P$12</f>
        <v>1.6666666666666666E-2</v>
      </c>
      <c r="M12" s="865">
        <f>SUM(I12:I53)</f>
        <v>0</v>
      </c>
      <c r="N12" s="867">
        <f>SUM(J12:J53)</f>
        <v>1800</v>
      </c>
      <c r="O12" s="869">
        <f>M12/N12</f>
        <v>0</v>
      </c>
      <c r="P12" s="869">
        <v>0.1</v>
      </c>
      <c r="Q12" s="871">
        <f>SUM(O54*P54+O78*P78+O96*P96+O168*P168+O12*P12)</f>
        <v>0</v>
      </c>
      <c r="R12" s="378"/>
      <c r="S12" s="817"/>
      <c r="T12" s="818"/>
      <c r="U12" s="818"/>
      <c r="V12" s="818"/>
      <c r="W12" s="818"/>
      <c r="X12" s="818"/>
      <c r="Y12" s="819"/>
      <c r="Z12" s="379"/>
      <c r="AA12" s="380">
        <v>30</v>
      </c>
      <c r="AB12" s="381"/>
      <c r="AC12" s="381"/>
      <c r="AD12" s="381"/>
      <c r="AE12" s="381"/>
      <c r="AF12" s="381"/>
      <c r="AG12" s="381"/>
      <c r="AH12" s="381"/>
      <c r="AI12" s="381"/>
      <c r="AJ12" s="381"/>
      <c r="AK12" s="381"/>
      <c r="AL12" s="381"/>
      <c r="AM12" s="381"/>
      <c r="AN12" s="381"/>
      <c r="AO12" s="381"/>
      <c r="AP12" s="381"/>
      <c r="AQ12" s="381"/>
      <c r="AR12" s="381"/>
      <c r="AS12" s="381"/>
      <c r="AT12" s="381"/>
      <c r="AU12" s="381"/>
    </row>
    <row r="13" spans="1:47" s="382" customFormat="1" ht="18" customHeight="1" thickBot="1" x14ac:dyDescent="0.5">
      <c r="A13" s="369"/>
      <c r="B13" s="857"/>
      <c r="C13" s="383" t="s">
        <v>238</v>
      </c>
      <c r="D13" s="384" t="s">
        <v>413</v>
      </c>
      <c r="E13" s="857"/>
      <c r="F13" s="690">
        <v>0</v>
      </c>
      <c r="G13" s="385">
        <v>35</v>
      </c>
      <c r="H13" s="860"/>
      <c r="I13" s="386"/>
      <c r="J13" s="387"/>
      <c r="K13" s="388">
        <f>ROUND(F13/G13,3)</f>
        <v>0</v>
      </c>
      <c r="L13" s="389"/>
      <c r="M13" s="866"/>
      <c r="N13" s="868"/>
      <c r="O13" s="870"/>
      <c r="P13" s="870"/>
      <c r="Q13" s="872"/>
      <c r="R13" s="378"/>
      <c r="S13" s="808"/>
      <c r="T13" s="809"/>
      <c r="U13" s="809"/>
      <c r="V13" s="809"/>
      <c r="W13" s="809"/>
      <c r="X13" s="809"/>
      <c r="Y13" s="810"/>
      <c r="Z13" s="379"/>
      <c r="AA13" s="381"/>
      <c r="AB13" s="381"/>
      <c r="AC13" s="381"/>
      <c r="AD13" s="381"/>
      <c r="AE13" s="381"/>
      <c r="AF13" s="381"/>
      <c r="AG13" s="381"/>
      <c r="AH13" s="381"/>
      <c r="AI13" s="381"/>
      <c r="AJ13" s="381"/>
      <c r="AK13" s="381"/>
      <c r="AL13" s="381"/>
      <c r="AM13" s="381"/>
      <c r="AN13" s="381"/>
      <c r="AO13" s="381"/>
      <c r="AP13" s="381"/>
      <c r="AQ13" s="381"/>
      <c r="AR13" s="381"/>
      <c r="AS13" s="381"/>
      <c r="AT13" s="381"/>
      <c r="AU13" s="381"/>
    </row>
    <row r="14" spans="1:47" s="382" customFormat="1" ht="18" customHeight="1" thickBot="1" x14ac:dyDescent="0.5">
      <c r="A14" s="369"/>
      <c r="B14" s="858"/>
      <c r="C14" s="383" t="s">
        <v>240</v>
      </c>
      <c r="D14" s="384" t="s">
        <v>414</v>
      </c>
      <c r="E14" s="858"/>
      <c r="F14" s="690">
        <v>0</v>
      </c>
      <c r="G14" s="385">
        <v>35</v>
      </c>
      <c r="H14" s="861"/>
      <c r="I14" s="390"/>
      <c r="J14" s="391"/>
      <c r="K14" s="392">
        <f>ROUND(F14/G14,3)</f>
        <v>0</v>
      </c>
      <c r="L14" s="389"/>
      <c r="M14" s="866"/>
      <c r="N14" s="868"/>
      <c r="O14" s="870"/>
      <c r="P14" s="870"/>
      <c r="Q14" s="872"/>
      <c r="R14" s="378"/>
      <c r="S14" s="808"/>
      <c r="T14" s="809"/>
      <c r="U14" s="809"/>
      <c r="V14" s="809"/>
      <c r="W14" s="809"/>
      <c r="X14" s="809"/>
      <c r="Y14" s="810"/>
      <c r="Z14" s="379"/>
      <c r="AA14" s="381"/>
      <c r="AB14" s="381"/>
      <c r="AC14" s="381"/>
      <c r="AD14" s="381"/>
      <c r="AE14" s="381"/>
      <c r="AF14" s="381"/>
      <c r="AG14" s="381"/>
      <c r="AH14" s="381"/>
      <c r="AI14" s="381"/>
      <c r="AJ14" s="381"/>
      <c r="AK14" s="381"/>
      <c r="AL14" s="381"/>
      <c r="AM14" s="381"/>
      <c r="AN14" s="381"/>
      <c r="AO14" s="381"/>
      <c r="AP14" s="381"/>
      <c r="AQ14" s="381"/>
      <c r="AR14" s="381"/>
      <c r="AS14" s="381"/>
      <c r="AT14" s="381"/>
      <c r="AU14" s="381"/>
    </row>
    <row r="15" spans="1:47" s="382" customFormat="1" ht="18" customHeight="1" thickBot="1" x14ac:dyDescent="0.5">
      <c r="A15" s="369"/>
      <c r="B15" s="859"/>
      <c r="C15" s="383" t="s">
        <v>242</v>
      </c>
      <c r="D15" s="384" t="s">
        <v>415</v>
      </c>
      <c r="E15" s="859"/>
      <c r="F15" s="690">
        <v>0</v>
      </c>
      <c r="G15" s="385">
        <v>30</v>
      </c>
      <c r="H15" s="862"/>
      <c r="I15" s="393"/>
      <c r="J15" s="394"/>
      <c r="K15" s="395">
        <f>ROUND(F15/G15,3)</f>
        <v>0</v>
      </c>
      <c r="L15" s="389"/>
      <c r="M15" s="866"/>
      <c r="N15" s="868"/>
      <c r="O15" s="870"/>
      <c r="P15" s="870"/>
      <c r="Q15" s="872"/>
      <c r="R15" s="378"/>
      <c r="S15" s="808"/>
      <c r="T15" s="809"/>
      <c r="U15" s="809"/>
      <c r="V15" s="809"/>
      <c r="W15" s="809"/>
      <c r="X15" s="809"/>
      <c r="Y15" s="810"/>
      <c r="Z15" s="379"/>
      <c r="AA15" s="381"/>
      <c r="AB15" s="381"/>
      <c r="AC15" s="381"/>
      <c r="AD15" s="381"/>
      <c r="AE15" s="381"/>
      <c r="AF15" s="381"/>
      <c r="AG15" s="381"/>
      <c r="AH15" s="381"/>
      <c r="AI15" s="381"/>
      <c r="AJ15" s="381"/>
      <c r="AK15" s="381"/>
      <c r="AL15" s="381"/>
      <c r="AM15" s="381"/>
      <c r="AN15" s="381"/>
      <c r="AO15" s="381"/>
      <c r="AP15" s="381"/>
      <c r="AQ15" s="381"/>
      <c r="AR15" s="381"/>
      <c r="AS15" s="381"/>
      <c r="AT15" s="381"/>
      <c r="AU15" s="381"/>
    </row>
    <row r="16" spans="1:47" s="382" customFormat="1" ht="18" customHeight="1" thickBot="1" x14ac:dyDescent="0.5">
      <c r="A16" s="369"/>
      <c r="B16" s="396" t="s">
        <v>416</v>
      </c>
      <c r="C16" s="874" t="s">
        <v>417</v>
      </c>
      <c r="D16" s="875"/>
      <c r="E16" s="397">
        <f>IF(SUM(F17:F20)&lt;AA16,0,IF(SUM(F17:F20)&gt;100,100,SUM(F17:F20)))</f>
        <v>0</v>
      </c>
      <c r="F16" s="398"/>
      <c r="G16" s="399">
        <f>SUM(G17:G20)</f>
        <v>100</v>
      </c>
      <c r="H16" s="400">
        <v>3</v>
      </c>
      <c r="I16" s="401">
        <f>ROUND(E16*H16,0)</f>
        <v>0</v>
      </c>
      <c r="J16" s="402">
        <f>G16*H16</f>
        <v>300</v>
      </c>
      <c r="K16" s="403">
        <f>ROUND(I16/J16,3)</f>
        <v>0</v>
      </c>
      <c r="L16" s="377">
        <f>J16/N$12*P$12</f>
        <v>1.6666666666666666E-2</v>
      </c>
      <c r="M16" s="866"/>
      <c r="N16" s="868"/>
      <c r="O16" s="870"/>
      <c r="P16" s="870"/>
      <c r="Q16" s="872"/>
      <c r="R16" s="378"/>
      <c r="S16" s="808"/>
      <c r="T16" s="809"/>
      <c r="U16" s="809"/>
      <c r="V16" s="809"/>
      <c r="W16" s="809"/>
      <c r="X16" s="809"/>
      <c r="Y16" s="810"/>
      <c r="Z16" s="379"/>
      <c r="AA16" s="380">
        <v>20</v>
      </c>
      <c r="AB16" s="381"/>
      <c r="AC16" s="381"/>
      <c r="AD16" s="381"/>
      <c r="AE16" s="381"/>
      <c r="AF16" s="381"/>
      <c r="AG16" s="381"/>
      <c r="AH16" s="381"/>
      <c r="AI16" s="381"/>
      <c r="AJ16" s="381"/>
      <c r="AK16" s="381"/>
      <c r="AL16" s="381"/>
      <c r="AM16" s="381"/>
      <c r="AN16" s="381"/>
      <c r="AO16" s="381"/>
      <c r="AP16" s="381"/>
      <c r="AQ16" s="381"/>
      <c r="AR16" s="381"/>
      <c r="AS16" s="381"/>
      <c r="AT16" s="381"/>
      <c r="AU16" s="381"/>
    </row>
    <row r="17" spans="1:47" s="382" customFormat="1" ht="18" customHeight="1" thickBot="1" x14ac:dyDescent="0.5">
      <c r="A17" s="369"/>
      <c r="B17" s="857"/>
      <c r="C17" s="383" t="s">
        <v>238</v>
      </c>
      <c r="D17" s="384" t="s">
        <v>794</v>
      </c>
      <c r="E17" s="857"/>
      <c r="F17" s="690">
        <v>0</v>
      </c>
      <c r="G17" s="385">
        <v>30</v>
      </c>
      <c r="H17" s="860"/>
      <c r="I17" s="386"/>
      <c r="J17" s="387"/>
      <c r="K17" s="388">
        <f>ROUND(F17/G17,3)</f>
        <v>0</v>
      </c>
      <c r="L17" s="389"/>
      <c r="M17" s="866"/>
      <c r="N17" s="868"/>
      <c r="O17" s="870"/>
      <c r="P17" s="870"/>
      <c r="Q17" s="872"/>
      <c r="R17" s="378"/>
      <c r="S17" s="808"/>
      <c r="T17" s="809"/>
      <c r="U17" s="809"/>
      <c r="V17" s="809"/>
      <c r="W17" s="809"/>
      <c r="X17" s="809"/>
      <c r="Y17" s="810"/>
      <c r="Z17" s="379"/>
      <c r="AA17" s="381"/>
      <c r="AB17" s="381"/>
      <c r="AC17" s="381"/>
      <c r="AD17" s="381"/>
      <c r="AE17" s="381"/>
      <c r="AF17" s="381"/>
      <c r="AG17" s="381"/>
      <c r="AH17" s="381"/>
      <c r="AI17" s="381"/>
      <c r="AJ17" s="381"/>
      <c r="AK17" s="381"/>
      <c r="AL17" s="381"/>
      <c r="AM17" s="381"/>
      <c r="AN17" s="381"/>
      <c r="AO17" s="381"/>
      <c r="AP17" s="381"/>
      <c r="AQ17" s="381"/>
      <c r="AR17" s="381"/>
      <c r="AS17" s="381"/>
      <c r="AT17" s="381"/>
      <c r="AU17" s="381"/>
    </row>
    <row r="18" spans="1:47" s="382" customFormat="1" ht="18" customHeight="1" thickBot="1" x14ac:dyDescent="0.5">
      <c r="A18" s="369"/>
      <c r="B18" s="858"/>
      <c r="C18" s="383" t="s">
        <v>240</v>
      </c>
      <c r="D18" s="384" t="s">
        <v>418</v>
      </c>
      <c r="E18" s="858"/>
      <c r="F18" s="690">
        <v>0</v>
      </c>
      <c r="G18" s="385">
        <v>30</v>
      </c>
      <c r="H18" s="861"/>
      <c r="I18" s="390"/>
      <c r="J18" s="391"/>
      <c r="K18" s="392">
        <f>ROUND(F18/G18,3)</f>
        <v>0</v>
      </c>
      <c r="L18" s="389"/>
      <c r="M18" s="866"/>
      <c r="N18" s="868"/>
      <c r="O18" s="870"/>
      <c r="P18" s="870"/>
      <c r="Q18" s="872"/>
      <c r="R18" s="378"/>
      <c r="S18" s="808"/>
      <c r="T18" s="809"/>
      <c r="U18" s="809"/>
      <c r="V18" s="809"/>
      <c r="W18" s="809"/>
      <c r="X18" s="809"/>
      <c r="Y18" s="810"/>
      <c r="Z18" s="379"/>
      <c r="AA18" s="381"/>
      <c r="AB18" s="381"/>
      <c r="AC18" s="381"/>
      <c r="AD18" s="381"/>
      <c r="AE18" s="381"/>
      <c r="AF18" s="381"/>
      <c r="AG18" s="381"/>
      <c r="AH18" s="381"/>
      <c r="AI18" s="381"/>
      <c r="AJ18" s="381"/>
      <c r="AK18" s="381"/>
      <c r="AL18" s="381"/>
      <c r="AM18" s="381"/>
      <c r="AN18" s="381"/>
      <c r="AO18" s="381"/>
      <c r="AP18" s="381"/>
      <c r="AQ18" s="381"/>
      <c r="AR18" s="381"/>
      <c r="AS18" s="381"/>
      <c r="AT18" s="381"/>
      <c r="AU18" s="381"/>
    </row>
    <row r="19" spans="1:47" s="382" customFormat="1" ht="18" customHeight="1" thickBot="1" x14ac:dyDescent="0.5">
      <c r="A19" s="369"/>
      <c r="B19" s="858"/>
      <c r="C19" s="383" t="s">
        <v>242</v>
      </c>
      <c r="D19" s="384" t="s">
        <v>419</v>
      </c>
      <c r="E19" s="858"/>
      <c r="F19" s="690">
        <v>0</v>
      </c>
      <c r="G19" s="385">
        <v>10</v>
      </c>
      <c r="H19" s="861"/>
      <c r="I19" s="390"/>
      <c r="J19" s="391"/>
      <c r="K19" s="392">
        <f>ROUND(F19/G19,3)</f>
        <v>0</v>
      </c>
      <c r="L19" s="389"/>
      <c r="M19" s="866"/>
      <c r="N19" s="868"/>
      <c r="O19" s="870"/>
      <c r="P19" s="870"/>
      <c r="Q19" s="872"/>
      <c r="R19" s="378"/>
      <c r="S19" s="808"/>
      <c r="T19" s="809"/>
      <c r="U19" s="809"/>
      <c r="V19" s="809"/>
      <c r="W19" s="809"/>
      <c r="X19" s="809"/>
      <c r="Y19" s="810"/>
      <c r="Z19" s="379"/>
      <c r="AA19" s="381"/>
      <c r="AB19" s="381"/>
      <c r="AC19" s="381"/>
      <c r="AD19" s="381"/>
      <c r="AE19" s="381"/>
      <c r="AF19" s="381"/>
      <c r="AG19" s="381"/>
      <c r="AH19" s="381"/>
      <c r="AI19" s="381"/>
      <c r="AJ19" s="381"/>
      <c r="AK19" s="381"/>
      <c r="AL19" s="381"/>
      <c r="AM19" s="381"/>
      <c r="AN19" s="381"/>
      <c r="AO19" s="381"/>
      <c r="AP19" s="381"/>
      <c r="AQ19" s="381"/>
      <c r="AR19" s="381"/>
      <c r="AS19" s="381"/>
      <c r="AT19" s="381"/>
      <c r="AU19" s="381"/>
    </row>
    <row r="20" spans="1:47" s="382" customFormat="1" ht="18" customHeight="1" thickBot="1" x14ac:dyDescent="0.5">
      <c r="A20" s="369"/>
      <c r="B20" s="859"/>
      <c r="C20" s="383" t="s">
        <v>244</v>
      </c>
      <c r="D20" s="384" t="s">
        <v>420</v>
      </c>
      <c r="E20" s="859"/>
      <c r="F20" s="690">
        <v>0</v>
      </c>
      <c r="G20" s="385">
        <v>30</v>
      </c>
      <c r="H20" s="862"/>
      <c r="I20" s="393"/>
      <c r="J20" s="394"/>
      <c r="K20" s="395">
        <f>ROUND(F20/G20,3)</f>
        <v>0</v>
      </c>
      <c r="L20" s="389"/>
      <c r="M20" s="866"/>
      <c r="N20" s="868"/>
      <c r="O20" s="870"/>
      <c r="P20" s="870"/>
      <c r="Q20" s="872"/>
      <c r="R20" s="378"/>
      <c r="S20" s="808"/>
      <c r="T20" s="809"/>
      <c r="U20" s="809"/>
      <c r="V20" s="809"/>
      <c r="W20" s="809"/>
      <c r="X20" s="809"/>
      <c r="Y20" s="810"/>
      <c r="Z20" s="379"/>
      <c r="AA20" s="381"/>
      <c r="AB20" s="381"/>
      <c r="AC20" s="381"/>
      <c r="AD20" s="381"/>
      <c r="AE20" s="381"/>
      <c r="AF20" s="381"/>
      <c r="AG20" s="381"/>
      <c r="AH20" s="381"/>
      <c r="AI20" s="381"/>
      <c r="AJ20" s="381"/>
      <c r="AK20" s="381"/>
      <c r="AL20" s="381"/>
      <c r="AM20" s="381"/>
      <c r="AN20" s="381"/>
      <c r="AO20" s="381"/>
      <c r="AP20" s="381"/>
      <c r="AQ20" s="381"/>
      <c r="AR20" s="381"/>
      <c r="AS20" s="381"/>
      <c r="AT20" s="381"/>
      <c r="AU20" s="381"/>
    </row>
    <row r="21" spans="1:47" s="382" customFormat="1" ht="27" customHeight="1" thickBot="1" x14ac:dyDescent="0.5">
      <c r="A21" s="369"/>
      <c r="B21" s="396" t="s">
        <v>421</v>
      </c>
      <c r="C21" s="874" t="s">
        <v>422</v>
      </c>
      <c r="D21" s="875"/>
      <c r="E21" s="397">
        <f>IF(SUM(F22:F31)&lt;AA21,0,IF(SUM(F22:F31)&gt;100,100,SUM(F22:F31)))</f>
        <v>0</v>
      </c>
      <c r="F21" s="398"/>
      <c r="G21" s="399">
        <f>SUM(G22:G31)</f>
        <v>100</v>
      </c>
      <c r="H21" s="400">
        <v>3</v>
      </c>
      <c r="I21" s="401">
        <f>ROUND(E21*H21,0)</f>
        <v>0</v>
      </c>
      <c r="J21" s="402">
        <f>G21*H21</f>
        <v>300</v>
      </c>
      <c r="K21" s="403">
        <f>ROUND(I21/J21,3)</f>
        <v>0</v>
      </c>
      <c r="L21" s="377">
        <f>J21/N$12*P$12</f>
        <v>1.6666666666666666E-2</v>
      </c>
      <c r="M21" s="866"/>
      <c r="N21" s="868"/>
      <c r="O21" s="870"/>
      <c r="P21" s="870"/>
      <c r="Q21" s="872"/>
      <c r="R21" s="378"/>
      <c r="S21" s="808"/>
      <c r="T21" s="809"/>
      <c r="U21" s="809"/>
      <c r="V21" s="809"/>
      <c r="W21" s="809"/>
      <c r="X21" s="809"/>
      <c r="Y21" s="810"/>
      <c r="Z21" s="379"/>
      <c r="AA21" s="380">
        <v>10</v>
      </c>
      <c r="AB21" s="381"/>
      <c r="AC21" s="381"/>
      <c r="AD21" s="381"/>
      <c r="AE21" s="381"/>
      <c r="AF21" s="381"/>
      <c r="AG21" s="381"/>
      <c r="AH21" s="381"/>
      <c r="AI21" s="381"/>
      <c r="AJ21" s="381"/>
      <c r="AK21" s="381"/>
      <c r="AL21" s="381"/>
      <c r="AM21" s="381"/>
      <c r="AN21" s="381"/>
      <c r="AO21" s="381"/>
      <c r="AP21" s="381"/>
      <c r="AQ21" s="381"/>
      <c r="AR21" s="381"/>
      <c r="AS21" s="381"/>
      <c r="AT21" s="381"/>
      <c r="AU21" s="381"/>
    </row>
    <row r="22" spans="1:47" s="382" customFormat="1" ht="18" customHeight="1" thickBot="1" x14ac:dyDescent="0.5">
      <c r="A22" s="369"/>
      <c r="B22" s="857"/>
      <c r="C22" s="383" t="s">
        <v>238</v>
      </c>
      <c r="D22" s="384" t="s">
        <v>423</v>
      </c>
      <c r="E22" s="857"/>
      <c r="F22" s="690">
        <v>0</v>
      </c>
      <c r="G22" s="385">
        <v>10</v>
      </c>
      <c r="H22" s="860"/>
      <c r="I22" s="386"/>
      <c r="J22" s="391"/>
      <c r="K22" s="388">
        <f t="shared" ref="K22" si="0">ROUND(F22/G22,3)</f>
        <v>0</v>
      </c>
      <c r="L22" s="389"/>
      <c r="M22" s="866"/>
      <c r="N22" s="868"/>
      <c r="O22" s="870"/>
      <c r="P22" s="870"/>
      <c r="Q22" s="872"/>
      <c r="R22" s="378"/>
      <c r="S22" s="808"/>
      <c r="T22" s="809"/>
      <c r="U22" s="809"/>
      <c r="V22" s="809"/>
      <c r="W22" s="809"/>
      <c r="X22" s="809"/>
      <c r="Y22" s="810"/>
      <c r="Z22" s="379"/>
      <c r="AA22" s="381"/>
      <c r="AB22" s="381"/>
      <c r="AC22" s="381"/>
      <c r="AD22" s="381"/>
      <c r="AE22" s="381"/>
      <c r="AF22" s="381"/>
      <c r="AG22" s="381"/>
      <c r="AH22" s="381"/>
      <c r="AI22" s="381"/>
      <c r="AJ22" s="381"/>
      <c r="AK22" s="381"/>
      <c r="AL22" s="381"/>
      <c r="AM22" s="381"/>
      <c r="AN22" s="381"/>
      <c r="AO22" s="381"/>
      <c r="AP22" s="381"/>
      <c r="AQ22" s="381"/>
      <c r="AR22" s="381"/>
      <c r="AS22" s="381"/>
      <c r="AT22" s="381"/>
      <c r="AU22" s="381"/>
    </row>
    <row r="23" spans="1:47" s="382" customFormat="1" ht="18" customHeight="1" thickBot="1" x14ac:dyDescent="0.5">
      <c r="A23" s="369"/>
      <c r="B23" s="858"/>
      <c r="C23" s="383" t="s">
        <v>240</v>
      </c>
      <c r="D23" s="384" t="s">
        <v>424</v>
      </c>
      <c r="E23" s="858"/>
      <c r="F23" s="690">
        <v>0</v>
      </c>
      <c r="G23" s="385">
        <v>10</v>
      </c>
      <c r="H23" s="861"/>
      <c r="I23" s="390"/>
      <c r="J23" s="391"/>
      <c r="K23" s="392"/>
      <c r="L23" s="389"/>
      <c r="M23" s="866"/>
      <c r="N23" s="868"/>
      <c r="O23" s="870"/>
      <c r="P23" s="870"/>
      <c r="Q23" s="872"/>
      <c r="R23" s="378"/>
      <c r="S23" s="808"/>
      <c r="T23" s="809"/>
      <c r="U23" s="809"/>
      <c r="V23" s="809"/>
      <c r="W23" s="809"/>
      <c r="X23" s="809"/>
      <c r="Y23" s="810"/>
      <c r="Z23" s="379"/>
      <c r="AA23" s="381"/>
      <c r="AB23" s="381"/>
      <c r="AC23" s="381"/>
      <c r="AD23" s="381"/>
      <c r="AE23" s="381"/>
      <c r="AF23" s="381"/>
      <c r="AG23" s="381"/>
      <c r="AH23" s="381"/>
      <c r="AI23" s="381"/>
      <c r="AJ23" s="381"/>
      <c r="AK23" s="381"/>
      <c r="AL23" s="381"/>
      <c r="AM23" s="381"/>
      <c r="AN23" s="381"/>
      <c r="AO23" s="381"/>
      <c r="AP23" s="381"/>
      <c r="AQ23" s="381"/>
      <c r="AR23" s="381"/>
      <c r="AS23" s="381"/>
      <c r="AT23" s="381"/>
      <c r="AU23" s="381"/>
    </row>
    <row r="24" spans="1:47" s="382" customFormat="1" ht="18" customHeight="1" thickBot="1" x14ac:dyDescent="0.5">
      <c r="A24" s="369"/>
      <c r="B24" s="858"/>
      <c r="C24" s="383" t="s">
        <v>242</v>
      </c>
      <c r="D24" s="384" t="s">
        <v>425</v>
      </c>
      <c r="E24" s="858"/>
      <c r="F24" s="690">
        <v>0</v>
      </c>
      <c r="G24" s="385">
        <v>10</v>
      </c>
      <c r="H24" s="861"/>
      <c r="I24" s="390"/>
      <c r="J24" s="391"/>
      <c r="K24" s="392"/>
      <c r="L24" s="389"/>
      <c r="M24" s="866"/>
      <c r="N24" s="868"/>
      <c r="O24" s="870"/>
      <c r="P24" s="870"/>
      <c r="Q24" s="872"/>
      <c r="R24" s="378"/>
      <c r="S24" s="808"/>
      <c r="T24" s="809"/>
      <c r="U24" s="809"/>
      <c r="V24" s="809"/>
      <c r="W24" s="809"/>
      <c r="X24" s="809"/>
      <c r="Y24" s="810"/>
      <c r="Z24" s="379"/>
      <c r="AA24" s="381"/>
      <c r="AB24" s="381"/>
      <c r="AC24" s="381"/>
      <c r="AD24" s="381"/>
      <c r="AE24" s="381"/>
      <c r="AF24" s="381"/>
      <c r="AG24" s="381"/>
      <c r="AH24" s="381"/>
      <c r="AI24" s="381"/>
      <c r="AJ24" s="381"/>
      <c r="AK24" s="381"/>
      <c r="AL24" s="381"/>
      <c r="AM24" s="381"/>
      <c r="AN24" s="381"/>
      <c r="AO24" s="381"/>
      <c r="AP24" s="381"/>
      <c r="AQ24" s="381"/>
      <c r="AR24" s="381"/>
      <c r="AS24" s="381"/>
      <c r="AT24" s="381"/>
      <c r="AU24" s="381"/>
    </row>
    <row r="25" spans="1:47" s="382" customFormat="1" ht="18" customHeight="1" thickBot="1" x14ac:dyDescent="0.5">
      <c r="A25" s="369"/>
      <c r="B25" s="858"/>
      <c r="C25" s="383" t="s">
        <v>244</v>
      </c>
      <c r="D25" s="384" t="s">
        <v>426</v>
      </c>
      <c r="E25" s="858"/>
      <c r="F25" s="690">
        <v>0</v>
      </c>
      <c r="G25" s="385">
        <v>10</v>
      </c>
      <c r="H25" s="861"/>
      <c r="I25" s="390"/>
      <c r="J25" s="391"/>
      <c r="K25" s="392"/>
      <c r="L25" s="389"/>
      <c r="M25" s="866"/>
      <c r="N25" s="868"/>
      <c r="O25" s="870"/>
      <c r="P25" s="870"/>
      <c r="Q25" s="872"/>
      <c r="R25" s="378"/>
      <c r="S25" s="808"/>
      <c r="T25" s="809"/>
      <c r="U25" s="809"/>
      <c r="V25" s="809"/>
      <c r="W25" s="809"/>
      <c r="X25" s="809"/>
      <c r="Y25" s="810"/>
      <c r="Z25" s="379"/>
      <c r="AA25" s="381"/>
      <c r="AB25" s="381"/>
      <c r="AC25" s="381"/>
      <c r="AD25" s="381"/>
      <c r="AE25" s="381"/>
      <c r="AF25" s="381"/>
      <c r="AG25" s="381"/>
      <c r="AH25" s="381"/>
      <c r="AI25" s="381"/>
      <c r="AJ25" s="381"/>
      <c r="AK25" s="381"/>
      <c r="AL25" s="381"/>
      <c r="AM25" s="381"/>
      <c r="AN25" s="381"/>
      <c r="AO25" s="381"/>
      <c r="AP25" s="381"/>
      <c r="AQ25" s="381"/>
      <c r="AR25" s="381"/>
      <c r="AS25" s="381"/>
      <c r="AT25" s="381"/>
      <c r="AU25" s="381"/>
    </row>
    <row r="26" spans="1:47" s="382" customFormat="1" ht="18" customHeight="1" thickBot="1" x14ac:dyDescent="0.5">
      <c r="A26" s="369"/>
      <c r="B26" s="858"/>
      <c r="C26" s="383" t="s">
        <v>246</v>
      </c>
      <c r="D26" s="384" t="s">
        <v>427</v>
      </c>
      <c r="E26" s="858"/>
      <c r="F26" s="690">
        <v>0</v>
      </c>
      <c r="G26" s="385">
        <v>10</v>
      </c>
      <c r="H26" s="861"/>
      <c r="I26" s="390"/>
      <c r="J26" s="391"/>
      <c r="K26" s="392"/>
      <c r="L26" s="389"/>
      <c r="M26" s="866"/>
      <c r="N26" s="868"/>
      <c r="O26" s="870"/>
      <c r="P26" s="870"/>
      <c r="Q26" s="872"/>
      <c r="R26" s="378"/>
      <c r="S26" s="808"/>
      <c r="T26" s="809"/>
      <c r="U26" s="809"/>
      <c r="V26" s="809"/>
      <c r="W26" s="809"/>
      <c r="X26" s="809"/>
      <c r="Y26" s="810"/>
      <c r="Z26" s="379"/>
      <c r="AA26" s="381"/>
      <c r="AB26" s="381"/>
      <c r="AC26" s="381"/>
      <c r="AD26" s="381"/>
      <c r="AE26" s="381"/>
      <c r="AF26" s="381"/>
      <c r="AG26" s="381"/>
      <c r="AH26" s="381"/>
      <c r="AI26" s="381"/>
      <c r="AJ26" s="381"/>
      <c r="AK26" s="381"/>
      <c r="AL26" s="381"/>
      <c r="AM26" s="381"/>
      <c r="AN26" s="381"/>
      <c r="AO26" s="381"/>
      <c r="AP26" s="381"/>
      <c r="AQ26" s="381"/>
      <c r="AR26" s="381"/>
      <c r="AS26" s="381"/>
      <c r="AT26" s="381"/>
      <c r="AU26" s="381"/>
    </row>
    <row r="27" spans="1:47" s="382" customFormat="1" ht="38.65" thickBot="1" x14ac:dyDescent="0.5">
      <c r="A27" s="369"/>
      <c r="B27" s="858"/>
      <c r="C27" s="383" t="s">
        <v>275</v>
      </c>
      <c r="D27" s="384" t="s">
        <v>795</v>
      </c>
      <c r="E27" s="858"/>
      <c r="F27" s="690">
        <v>0</v>
      </c>
      <c r="G27" s="385">
        <v>10</v>
      </c>
      <c r="H27" s="861"/>
      <c r="I27" s="390"/>
      <c r="J27" s="391"/>
      <c r="K27" s="392"/>
      <c r="L27" s="389"/>
      <c r="M27" s="866"/>
      <c r="N27" s="868"/>
      <c r="O27" s="870"/>
      <c r="P27" s="870"/>
      <c r="Q27" s="872"/>
      <c r="R27" s="378"/>
      <c r="S27" s="808"/>
      <c r="T27" s="809"/>
      <c r="U27" s="809"/>
      <c r="V27" s="809"/>
      <c r="W27" s="809"/>
      <c r="X27" s="809"/>
      <c r="Y27" s="810"/>
      <c r="Z27" s="379"/>
      <c r="AA27" s="381"/>
      <c r="AB27" s="381"/>
      <c r="AC27" s="381"/>
      <c r="AD27" s="381"/>
      <c r="AE27" s="381"/>
      <c r="AF27" s="381"/>
      <c r="AG27" s="381"/>
      <c r="AH27" s="381"/>
      <c r="AI27" s="381"/>
      <c r="AJ27" s="381"/>
      <c r="AK27" s="381"/>
      <c r="AL27" s="381"/>
      <c r="AM27" s="381"/>
      <c r="AN27" s="381"/>
      <c r="AO27" s="381"/>
      <c r="AP27" s="381"/>
      <c r="AQ27" s="381"/>
      <c r="AR27" s="381"/>
      <c r="AS27" s="381"/>
      <c r="AT27" s="381"/>
      <c r="AU27" s="381"/>
    </row>
    <row r="28" spans="1:47" s="382" customFormat="1" ht="25.9" thickBot="1" x14ac:dyDescent="0.5">
      <c r="A28" s="369"/>
      <c r="B28" s="858"/>
      <c r="C28" s="383" t="s">
        <v>290</v>
      </c>
      <c r="D28" s="384" t="s">
        <v>428</v>
      </c>
      <c r="E28" s="858"/>
      <c r="F28" s="690">
        <v>0</v>
      </c>
      <c r="G28" s="385">
        <v>10</v>
      </c>
      <c r="H28" s="861"/>
      <c r="I28" s="390"/>
      <c r="J28" s="391"/>
      <c r="K28" s="392"/>
      <c r="L28" s="389"/>
      <c r="M28" s="866"/>
      <c r="N28" s="868"/>
      <c r="O28" s="870"/>
      <c r="P28" s="870"/>
      <c r="Q28" s="872"/>
      <c r="R28" s="378"/>
      <c r="S28" s="808"/>
      <c r="T28" s="809"/>
      <c r="U28" s="809"/>
      <c r="V28" s="809"/>
      <c r="W28" s="809"/>
      <c r="X28" s="809"/>
      <c r="Y28" s="810"/>
      <c r="Z28" s="379"/>
      <c r="AA28" s="381"/>
      <c r="AB28" s="381"/>
      <c r="AC28" s="381"/>
      <c r="AD28" s="381"/>
      <c r="AE28" s="381"/>
      <c r="AF28" s="381"/>
      <c r="AG28" s="381"/>
      <c r="AH28" s="381"/>
      <c r="AI28" s="381"/>
      <c r="AJ28" s="381"/>
      <c r="AK28" s="381"/>
      <c r="AL28" s="381"/>
      <c r="AM28" s="381"/>
      <c r="AN28" s="381"/>
      <c r="AO28" s="381"/>
      <c r="AP28" s="381"/>
      <c r="AQ28" s="381"/>
      <c r="AR28" s="381"/>
      <c r="AS28" s="381"/>
      <c r="AT28" s="381"/>
      <c r="AU28" s="381"/>
    </row>
    <row r="29" spans="1:47" s="382" customFormat="1" ht="25.9" thickBot="1" x14ac:dyDescent="0.5">
      <c r="A29" s="369"/>
      <c r="B29" s="858"/>
      <c r="C29" s="383" t="s">
        <v>292</v>
      </c>
      <c r="D29" s="384" t="s">
        <v>429</v>
      </c>
      <c r="E29" s="858"/>
      <c r="F29" s="690">
        <v>0</v>
      </c>
      <c r="G29" s="385">
        <v>10</v>
      </c>
      <c r="H29" s="861"/>
      <c r="I29" s="390"/>
      <c r="J29" s="391"/>
      <c r="K29" s="392"/>
      <c r="L29" s="389"/>
      <c r="M29" s="866"/>
      <c r="N29" s="868"/>
      <c r="O29" s="870"/>
      <c r="P29" s="870"/>
      <c r="Q29" s="872"/>
      <c r="R29" s="378"/>
      <c r="S29" s="808"/>
      <c r="T29" s="809"/>
      <c r="U29" s="809"/>
      <c r="V29" s="809"/>
      <c r="W29" s="809"/>
      <c r="X29" s="809"/>
      <c r="Y29" s="810"/>
      <c r="Z29" s="379"/>
      <c r="AA29" s="381"/>
      <c r="AB29" s="381"/>
      <c r="AC29" s="381"/>
      <c r="AD29" s="381"/>
      <c r="AE29" s="381"/>
      <c r="AF29" s="381"/>
      <c r="AG29" s="381"/>
      <c r="AH29" s="381"/>
      <c r="AI29" s="381"/>
      <c r="AJ29" s="381"/>
      <c r="AK29" s="381"/>
      <c r="AL29" s="381"/>
      <c r="AM29" s="381"/>
      <c r="AN29" s="381"/>
      <c r="AO29" s="381"/>
      <c r="AP29" s="381"/>
      <c r="AQ29" s="381"/>
      <c r="AR29" s="381"/>
      <c r="AS29" s="381"/>
      <c r="AT29" s="381"/>
      <c r="AU29" s="381"/>
    </row>
    <row r="30" spans="1:47" s="382" customFormat="1" ht="25.9" thickBot="1" x14ac:dyDescent="0.5">
      <c r="A30" s="369"/>
      <c r="B30" s="858"/>
      <c r="C30" s="383" t="s">
        <v>430</v>
      </c>
      <c r="D30" s="384" t="s">
        <v>431</v>
      </c>
      <c r="E30" s="858"/>
      <c r="F30" s="690">
        <v>0</v>
      </c>
      <c r="G30" s="385">
        <v>10</v>
      </c>
      <c r="H30" s="861"/>
      <c r="I30" s="390"/>
      <c r="J30" s="391"/>
      <c r="K30" s="392"/>
      <c r="L30" s="389"/>
      <c r="M30" s="866"/>
      <c r="N30" s="868"/>
      <c r="O30" s="870"/>
      <c r="P30" s="870"/>
      <c r="Q30" s="872"/>
      <c r="R30" s="378"/>
      <c r="S30" s="808"/>
      <c r="T30" s="809"/>
      <c r="U30" s="809"/>
      <c r="V30" s="809"/>
      <c r="W30" s="809"/>
      <c r="X30" s="809"/>
      <c r="Y30" s="810"/>
      <c r="Z30" s="379"/>
      <c r="AA30" s="381"/>
      <c r="AB30" s="381"/>
      <c r="AC30" s="381"/>
      <c r="AD30" s="381"/>
      <c r="AE30" s="381"/>
      <c r="AF30" s="381"/>
      <c r="AG30" s="381"/>
      <c r="AH30" s="381"/>
      <c r="AI30" s="381"/>
      <c r="AJ30" s="381"/>
      <c r="AK30" s="381"/>
      <c r="AL30" s="381"/>
      <c r="AM30" s="381"/>
      <c r="AN30" s="381"/>
      <c r="AO30" s="381"/>
      <c r="AP30" s="381"/>
      <c r="AQ30" s="381"/>
      <c r="AR30" s="381"/>
      <c r="AS30" s="381"/>
      <c r="AT30" s="381"/>
      <c r="AU30" s="381"/>
    </row>
    <row r="31" spans="1:47" s="382" customFormat="1" ht="18" customHeight="1" thickBot="1" x14ac:dyDescent="0.5">
      <c r="A31" s="369"/>
      <c r="B31" s="859"/>
      <c r="C31" s="383" t="s">
        <v>796</v>
      </c>
      <c r="D31" s="384" t="s">
        <v>432</v>
      </c>
      <c r="E31" s="859"/>
      <c r="F31" s="690">
        <v>0</v>
      </c>
      <c r="G31" s="385">
        <v>10</v>
      </c>
      <c r="H31" s="862"/>
      <c r="I31" s="393"/>
      <c r="J31" s="394"/>
      <c r="K31" s="392">
        <f t="shared" ref="K31" si="1">ROUND(F31/G31,3)</f>
        <v>0</v>
      </c>
      <c r="L31" s="389"/>
      <c r="M31" s="866"/>
      <c r="N31" s="868"/>
      <c r="O31" s="870"/>
      <c r="P31" s="870"/>
      <c r="Q31" s="872"/>
      <c r="R31" s="378"/>
      <c r="S31" s="808"/>
      <c r="T31" s="809"/>
      <c r="U31" s="809"/>
      <c r="V31" s="809"/>
      <c r="W31" s="809"/>
      <c r="X31" s="809"/>
      <c r="Y31" s="810"/>
      <c r="Z31" s="379"/>
      <c r="AA31" s="381"/>
      <c r="AB31" s="381"/>
      <c r="AC31" s="381"/>
      <c r="AD31" s="381"/>
      <c r="AE31" s="381"/>
      <c r="AF31" s="381"/>
      <c r="AG31" s="381"/>
      <c r="AH31" s="381"/>
      <c r="AI31" s="381"/>
      <c r="AJ31" s="381"/>
      <c r="AK31" s="381"/>
      <c r="AL31" s="381"/>
      <c r="AM31" s="381"/>
      <c r="AN31" s="381"/>
      <c r="AO31" s="381"/>
      <c r="AP31" s="381"/>
      <c r="AQ31" s="381"/>
      <c r="AR31" s="381"/>
      <c r="AS31" s="381"/>
      <c r="AT31" s="381"/>
      <c r="AU31" s="381"/>
    </row>
    <row r="32" spans="1:47" s="382" customFormat="1" ht="30.75" customHeight="1" thickBot="1" x14ac:dyDescent="0.5">
      <c r="A32" s="369"/>
      <c r="B32" s="396" t="s">
        <v>433</v>
      </c>
      <c r="C32" s="874" t="s">
        <v>797</v>
      </c>
      <c r="D32" s="875"/>
      <c r="E32" s="397">
        <f>IF(SUM(F33:F34)&lt;AA32,0,IF(SUM(F33:F34)&gt;100,100,SUM(F33:F34)))</f>
        <v>0</v>
      </c>
      <c r="F32" s="398"/>
      <c r="G32" s="400">
        <v>100</v>
      </c>
      <c r="H32" s="400">
        <v>2</v>
      </c>
      <c r="I32" s="401">
        <f>ROUND(E32*H32,0)</f>
        <v>0</v>
      </c>
      <c r="J32" s="402">
        <f>G32*H32</f>
        <v>200</v>
      </c>
      <c r="K32" s="404">
        <f>ROUND(I32/J32,3)</f>
        <v>0</v>
      </c>
      <c r="L32" s="377">
        <f>J32/N$12*P$12</f>
        <v>1.1111111111111112E-2</v>
      </c>
      <c r="M32" s="866"/>
      <c r="N32" s="868"/>
      <c r="O32" s="870"/>
      <c r="P32" s="870"/>
      <c r="Q32" s="872"/>
      <c r="R32" s="378"/>
      <c r="S32" s="808"/>
      <c r="T32" s="809"/>
      <c r="U32" s="809"/>
      <c r="V32" s="809"/>
      <c r="W32" s="809"/>
      <c r="X32" s="809"/>
      <c r="Y32" s="810"/>
      <c r="Z32" s="379"/>
      <c r="AA32" s="380">
        <v>25</v>
      </c>
      <c r="AB32" s="381"/>
      <c r="AC32" s="381"/>
      <c r="AD32" s="381"/>
      <c r="AE32" s="381"/>
      <c r="AF32" s="381"/>
      <c r="AG32" s="381"/>
      <c r="AH32" s="381"/>
      <c r="AI32" s="381"/>
      <c r="AJ32" s="381"/>
      <c r="AK32" s="381"/>
      <c r="AL32" s="381"/>
      <c r="AM32" s="381"/>
      <c r="AN32" s="381"/>
      <c r="AO32" s="381"/>
      <c r="AP32" s="381"/>
      <c r="AQ32" s="381"/>
      <c r="AR32" s="381"/>
      <c r="AS32" s="381"/>
      <c r="AT32" s="381"/>
      <c r="AU32" s="381"/>
    </row>
    <row r="33" spans="1:47" s="382" customFormat="1" ht="25.9" thickBot="1" x14ac:dyDescent="0.5">
      <c r="A33" s="369"/>
      <c r="B33" s="857"/>
      <c r="C33" s="383" t="s">
        <v>238</v>
      </c>
      <c r="D33" s="384" t="s">
        <v>434</v>
      </c>
      <c r="E33" s="857"/>
      <c r="F33" s="690">
        <v>0</v>
      </c>
      <c r="G33" s="385">
        <v>50</v>
      </c>
      <c r="H33" s="860"/>
      <c r="I33" s="386"/>
      <c r="J33" s="387"/>
      <c r="K33" s="392">
        <f>ROUND(F33/G33,3)</f>
        <v>0</v>
      </c>
      <c r="L33" s="392"/>
      <c r="M33" s="866"/>
      <c r="N33" s="868"/>
      <c r="O33" s="870"/>
      <c r="P33" s="870"/>
      <c r="Q33" s="872"/>
      <c r="R33" s="378"/>
      <c r="S33" s="808"/>
      <c r="T33" s="809"/>
      <c r="U33" s="809"/>
      <c r="V33" s="809"/>
      <c r="W33" s="809"/>
      <c r="X33" s="809"/>
      <c r="Y33" s="810"/>
      <c r="Z33" s="379"/>
      <c r="AA33" s="381"/>
      <c r="AB33" s="381"/>
      <c r="AC33" s="381"/>
      <c r="AD33" s="381"/>
      <c r="AE33" s="381"/>
      <c r="AF33" s="381"/>
      <c r="AG33" s="381"/>
      <c r="AH33" s="381"/>
      <c r="AI33" s="381"/>
      <c r="AJ33" s="381"/>
      <c r="AK33" s="381"/>
      <c r="AL33" s="381"/>
      <c r="AM33" s="381"/>
      <c r="AN33" s="381"/>
      <c r="AO33" s="381"/>
      <c r="AP33" s="381"/>
      <c r="AQ33" s="381"/>
      <c r="AR33" s="381"/>
      <c r="AS33" s="381"/>
      <c r="AT33" s="381"/>
      <c r="AU33" s="381"/>
    </row>
    <row r="34" spans="1:47" s="382" customFormat="1" ht="25.9" thickBot="1" x14ac:dyDescent="0.5">
      <c r="A34" s="369"/>
      <c r="B34" s="859"/>
      <c r="C34" s="383" t="s">
        <v>240</v>
      </c>
      <c r="D34" s="384" t="s">
        <v>435</v>
      </c>
      <c r="E34" s="859"/>
      <c r="F34" s="690">
        <v>0</v>
      </c>
      <c r="G34" s="385">
        <v>50</v>
      </c>
      <c r="H34" s="862"/>
      <c r="I34" s="393"/>
      <c r="J34" s="394"/>
      <c r="K34" s="395">
        <f>ROUND(F34/G34,3)</f>
        <v>0</v>
      </c>
      <c r="L34" s="395"/>
      <c r="M34" s="866"/>
      <c r="N34" s="868"/>
      <c r="O34" s="870"/>
      <c r="P34" s="870"/>
      <c r="Q34" s="872"/>
      <c r="R34" s="378"/>
      <c r="S34" s="808"/>
      <c r="T34" s="809"/>
      <c r="U34" s="809"/>
      <c r="V34" s="809"/>
      <c r="W34" s="809"/>
      <c r="X34" s="809"/>
      <c r="Y34" s="810"/>
      <c r="Z34" s="379"/>
      <c r="AA34" s="381"/>
      <c r="AB34" s="381"/>
      <c r="AC34" s="381"/>
      <c r="AD34" s="381"/>
      <c r="AE34" s="381"/>
      <c r="AF34" s="381"/>
      <c r="AG34" s="381"/>
      <c r="AH34" s="381"/>
      <c r="AI34" s="381"/>
      <c r="AJ34" s="381"/>
      <c r="AK34" s="381"/>
      <c r="AL34" s="381"/>
      <c r="AM34" s="381"/>
      <c r="AN34" s="381"/>
      <c r="AO34" s="381"/>
      <c r="AP34" s="381"/>
      <c r="AQ34" s="381"/>
      <c r="AR34" s="381"/>
      <c r="AS34" s="381"/>
      <c r="AT34" s="381"/>
      <c r="AU34" s="381"/>
    </row>
    <row r="35" spans="1:47" s="382" customFormat="1" ht="18" customHeight="1" thickBot="1" x14ac:dyDescent="0.5">
      <c r="A35" s="369"/>
      <c r="B35" s="405" t="s">
        <v>436</v>
      </c>
      <c r="C35" s="874" t="s">
        <v>437</v>
      </c>
      <c r="D35" s="875"/>
      <c r="E35" s="397">
        <f>IF(SUM(F36:F38)&lt;AA35,0,IF(SUM(F36:F38)&gt;100,100,SUM(F36:F38)))</f>
        <v>0</v>
      </c>
      <c r="F35" s="398"/>
      <c r="G35" s="400">
        <v>100</v>
      </c>
      <c r="H35" s="400">
        <v>2</v>
      </c>
      <c r="I35" s="406">
        <f>ROUND(E35*H35,0)</f>
        <v>0</v>
      </c>
      <c r="J35" s="402">
        <f>G35*H35</f>
        <v>200</v>
      </c>
      <c r="K35" s="403">
        <f>ROUND(I35/J35,3)</f>
        <v>0</v>
      </c>
      <c r="L35" s="377">
        <f>J35/N$12*P$12</f>
        <v>1.1111111111111112E-2</v>
      </c>
      <c r="M35" s="866"/>
      <c r="N35" s="868"/>
      <c r="O35" s="870"/>
      <c r="P35" s="870"/>
      <c r="Q35" s="872"/>
      <c r="R35" s="378"/>
      <c r="S35" s="808"/>
      <c r="T35" s="809"/>
      <c r="U35" s="809"/>
      <c r="V35" s="809"/>
      <c r="W35" s="809"/>
      <c r="X35" s="809"/>
      <c r="Y35" s="810"/>
      <c r="Z35" s="379"/>
      <c r="AA35" s="380">
        <v>30</v>
      </c>
      <c r="AB35" s="381"/>
      <c r="AC35" s="381"/>
      <c r="AD35" s="381"/>
      <c r="AE35" s="381"/>
      <c r="AF35" s="381"/>
      <c r="AG35" s="381"/>
      <c r="AH35" s="381"/>
      <c r="AI35" s="381"/>
      <c r="AJ35" s="381"/>
      <c r="AK35" s="381"/>
      <c r="AL35" s="381"/>
      <c r="AM35" s="381"/>
      <c r="AN35" s="381"/>
      <c r="AO35" s="381"/>
      <c r="AP35" s="381"/>
      <c r="AQ35" s="381"/>
      <c r="AR35" s="381"/>
      <c r="AS35" s="381"/>
      <c r="AT35" s="381"/>
      <c r="AU35" s="381"/>
    </row>
    <row r="36" spans="1:47" s="382" customFormat="1" ht="18" customHeight="1" thickBot="1" x14ac:dyDescent="0.5">
      <c r="A36" s="369"/>
      <c r="B36" s="857"/>
      <c r="C36" s="383" t="s">
        <v>238</v>
      </c>
      <c r="D36" s="384" t="s">
        <v>438</v>
      </c>
      <c r="E36" s="857"/>
      <c r="F36" s="690">
        <v>0</v>
      </c>
      <c r="G36" s="385">
        <v>30</v>
      </c>
      <c r="H36" s="860"/>
      <c r="I36" s="386"/>
      <c r="J36" s="387"/>
      <c r="K36" s="388">
        <f>ROUND(F36/G36,3)</f>
        <v>0</v>
      </c>
      <c r="L36" s="392"/>
      <c r="M36" s="866"/>
      <c r="N36" s="868"/>
      <c r="O36" s="870"/>
      <c r="P36" s="870"/>
      <c r="Q36" s="872"/>
      <c r="R36" s="378"/>
      <c r="S36" s="808"/>
      <c r="T36" s="809"/>
      <c r="U36" s="809"/>
      <c r="V36" s="809"/>
      <c r="W36" s="809"/>
      <c r="X36" s="809"/>
      <c r="Y36" s="810"/>
      <c r="Z36" s="379"/>
      <c r="AA36" s="381"/>
      <c r="AB36" s="381"/>
      <c r="AC36" s="381"/>
      <c r="AD36" s="381"/>
      <c r="AE36" s="381"/>
      <c r="AF36" s="381"/>
      <c r="AG36" s="381"/>
      <c r="AH36" s="381"/>
      <c r="AI36" s="381"/>
      <c r="AJ36" s="381"/>
      <c r="AK36" s="381"/>
      <c r="AL36" s="381"/>
      <c r="AM36" s="381"/>
      <c r="AN36" s="381"/>
      <c r="AO36" s="381"/>
      <c r="AP36" s="381"/>
      <c r="AQ36" s="381"/>
      <c r="AR36" s="381"/>
      <c r="AS36" s="381"/>
      <c r="AT36" s="381"/>
      <c r="AU36" s="381"/>
    </row>
    <row r="37" spans="1:47" s="382" customFormat="1" ht="38.65" thickBot="1" x14ac:dyDescent="0.5">
      <c r="A37" s="369"/>
      <c r="B37" s="858"/>
      <c r="C37" s="383" t="s">
        <v>240</v>
      </c>
      <c r="D37" s="384" t="s">
        <v>439</v>
      </c>
      <c r="E37" s="858"/>
      <c r="F37" s="690">
        <v>0</v>
      </c>
      <c r="G37" s="385">
        <v>30</v>
      </c>
      <c r="H37" s="861"/>
      <c r="I37" s="390"/>
      <c r="J37" s="391"/>
      <c r="K37" s="392">
        <f>ROUND(F37/G37,3)</f>
        <v>0</v>
      </c>
      <c r="L37" s="392"/>
      <c r="M37" s="866"/>
      <c r="N37" s="868"/>
      <c r="O37" s="870"/>
      <c r="P37" s="870"/>
      <c r="Q37" s="872"/>
      <c r="R37" s="378"/>
      <c r="S37" s="808"/>
      <c r="T37" s="809"/>
      <c r="U37" s="809"/>
      <c r="V37" s="809"/>
      <c r="W37" s="809"/>
      <c r="X37" s="809"/>
      <c r="Y37" s="810"/>
      <c r="Z37" s="379"/>
      <c r="AA37" s="381"/>
      <c r="AB37" s="381"/>
      <c r="AC37" s="381"/>
      <c r="AD37" s="381"/>
      <c r="AE37" s="381"/>
      <c r="AF37" s="381"/>
      <c r="AG37" s="381"/>
      <c r="AH37" s="381"/>
      <c r="AI37" s="381"/>
      <c r="AJ37" s="381"/>
      <c r="AK37" s="381"/>
      <c r="AL37" s="381"/>
      <c r="AM37" s="381"/>
      <c r="AN37" s="381"/>
      <c r="AO37" s="381"/>
      <c r="AP37" s="381"/>
      <c r="AQ37" s="381"/>
      <c r="AR37" s="381"/>
      <c r="AS37" s="381"/>
      <c r="AT37" s="381"/>
      <c r="AU37" s="381"/>
    </row>
    <row r="38" spans="1:47" s="382" customFormat="1" ht="18" customHeight="1" thickBot="1" x14ac:dyDescent="0.5">
      <c r="A38" s="369"/>
      <c r="B38" s="859"/>
      <c r="C38" s="383" t="s">
        <v>242</v>
      </c>
      <c r="D38" s="384" t="s">
        <v>440</v>
      </c>
      <c r="E38" s="859"/>
      <c r="F38" s="690">
        <v>0</v>
      </c>
      <c r="G38" s="385">
        <v>40</v>
      </c>
      <c r="H38" s="862"/>
      <c r="I38" s="393"/>
      <c r="J38" s="394"/>
      <c r="K38" s="395">
        <f>ROUND(F38/G38,3)</f>
        <v>0</v>
      </c>
      <c r="L38" s="395"/>
      <c r="M38" s="866"/>
      <c r="N38" s="868"/>
      <c r="O38" s="870"/>
      <c r="P38" s="870"/>
      <c r="Q38" s="872"/>
      <c r="R38" s="378"/>
      <c r="S38" s="808"/>
      <c r="T38" s="809"/>
      <c r="U38" s="809"/>
      <c r="V38" s="809"/>
      <c r="W38" s="809"/>
      <c r="X38" s="809"/>
      <c r="Y38" s="810"/>
      <c r="Z38" s="379"/>
      <c r="AA38" s="381"/>
      <c r="AB38" s="381"/>
      <c r="AC38" s="381"/>
      <c r="AD38" s="381"/>
      <c r="AE38" s="381"/>
      <c r="AF38" s="381"/>
      <c r="AG38" s="381"/>
      <c r="AH38" s="381"/>
      <c r="AI38" s="381"/>
      <c r="AJ38" s="381"/>
      <c r="AK38" s="381"/>
      <c r="AL38" s="381"/>
      <c r="AM38" s="381"/>
      <c r="AN38" s="381"/>
      <c r="AO38" s="381"/>
      <c r="AP38" s="381"/>
      <c r="AQ38" s="381"/>
      <c r="AR38" s="381"/>
      <c r="AS38" s="381"/>
      <c r="AT38" s="381"/>
      <c r="AU38" s="381"/>
    </row>
    <row r="39" spans="1:47" s="382" customFormat="1" ht="18" customHeight="1" thickBot="1" x14ac:dyDescent="0.5">
      <c r="A39" s="369"/>
      <c r="B39" s="396" t="s">
        <v>441</v>
      </c>
      <c r="C39" s="874" t="s">
        <v>442</v>
      </c>
      <c r="D39" s="875"/>
      <c r="E39" s="397">
        <f>IF(SUM(F40:F46)&lt;AA39,0,IF(SUM(F40:F46)&gt;100,100,SUM(F40:F46)))</f>
        <v>0</v>
      </c>
      <c r="F39" s="398"/>
      <c r="G39" s="400">
        <v>100</v>
      </c>
      <c r="H39" s="400">
        <v>2</v>
      </c>
      <c r="I39" s="406">
        <f>ROUND(E39*H39,0)</f>
        <v>0</v>
      </c>
      <c r="J39" s="402">
        <f>G39*H39</f>
        <v>200</v>
      </c>
      <c r="K39" s="403">
        <f>ROUND(I39/J39,3)</f>
        <v>0</v>
      </c>
      <c r="L39" s="377">
        <f>J39/N$12*P$12</f>
        <v>1.1111111111111112E-2</v>
      </c>
      <c r="M39" s="866"/>
      <c r="N39" s="868"/>
      <c r="O39" s="870"/>
      <c r="P39" s="870"/>
      <c r="Q39" s="872"/>
      <c r="R39" s="378"/>
      <c r="S39" s="808"/>
      <c r="T39" s="809"/>
      <c r="U39" s="809"/>
      <c r="V39" s="809"/>
      <c r="W39" s="809"/>
      <c r="X39" s="809"/>
      <c r="Y39" s="810"/>
      <c r="Z39" s="379"/>
      <c r="AA39" s="380">
        <v>25</v>
      </c>
      <c r="AB39" s="381"/>
      <c r="AC39" s="381"/>
      <c r="AD39" s="381"/>
      <c r="AE39" s="381"/>
      <c r="AF39" s="381"/>
      <c r="AG39" s="381"/>
      <c r="AH39" s="381"/>
      <c r="AI39" s="381"/>
      <c r="AJ39" s="381"/>
      <c r="AK39" s="381"/>
      <c r="AL39" s="381"/>
      <c r="AM39" s="381"/>
      <c r="AN39" s="381"/>
      <c r="AO39" s="381"/>
      <c r="AP39" s="381"/>
      <c r="AQ39" s="381"/>
      <c r="AR39" s="381"/>
      <c r="AS39" s="381"/>
      <c r="AT39" s="381"/>
      <c r="AU39" s="381"/>
    </row>
    <row r="40" spans="1:47" s="382" customFormat="1" ht="25.9" thickBot="1" x14ac:dyDescent="0.5">
      <c r="A40" s="369"/>
      <c r="B40" s="857"/>
      <c r="C40" s="383" t="s">
        <v>238</v>
      </c>
      <c r="D40" s="384" t="s">
        <v>443</v>
      </c>
      <c r="E40" s="857"/>
      <c r="F40" s="690">
        <v>0</v>
      </c>
      <c r="G40" s="385">
        <v>15</v>
      </c>
      <c r="H40" s="860"/>
      <c r="I40" s="386"/>
      <c r="J40" s="387"/>
      <c r="K40" s="388">
        <f t="shared" ref="K40:K46" si="2">ROUND(F40/G40,3)</f>
        <v>0</v>
      </c>
      <c r="L40" s="389"/>
      <c r="M40" s="866"/>
      <c r="N40" s="868"/>
      <c r="O40" s="870"/>
      <c r="P40" s="870"/>
      <c r="Q40" s="872"/>
      <c r="R40" s="378"/>
      <c r="S40" s="808"/>
      <c r="T40" s="809"/>
      <c r="U40" s="809"/>
      <c r="V40" s="809"/>
      <c r="W40" s="809"/>
      <c r="X40" s="809"/>
      <c r="Y40" s="810"/>
      <c r="Z40" s="379"/>
      <c r="AA40" s="381"/>
      <c r="AB40" s="381"/>
      <c r="AC40" s="381"/>
      <c r="AD40" s="381"/>
      <c r="AE40" s="381"/>
      <c r="AF40" s="381"/>
      <c r="AG40" s="381"/>
      <c r="AH40" s="381"/>
      <c r="AI40" s="381"/>
      <c r="AJ40" s="381"/>
      <c r="AK40" s="381"/>
      <c r="AL40" s="381"/>
      <c r="AM40" s="381"/>
      <c r="AN40" s="381"/>
      <c r="AO40" s="381"/>
      <c r="AP40" s="381"/>
      <c r="AQ40" s="381"/>
      <c r="AR40" s="381"/>
      <c r="AS40" s="381"/>
      <c r="AT40" s="381"/>
      <c r="AU40" s="381"/>
    </row>
    <row r="41" spans="1:47" s="382" customFormat="1" ht="24.75" customHeight="1" thickBot="1" x14ac:dyDescent="0.5">
      <c r="A41" s="369"/>
      <c r="B41" s="858"/>
      <c r="C41" s="383" t="s">
        <v>240</v>
      </c>
      <c r="D41" s="384" t="s">
        <v>444</v>
      </c>
      <c r="E41" s="858"/>
      <c r="F41" s="690">
        <v>0</v>
      </c>
      <c r="G41" s="385">
        <v>15</v>
      </c>
      <c r="H41" s="861"/>
      <c r="I41" s="390"/>
      <c r="J41" s="391"/>
      <c r="K41" s="392">
        <f t="shared" si="2"/>
        <v>0</v>
      </c>
      <c r="L41" s="389"/>
      <c r="M41" s="866"/>
      <c r="N41" s="868"/>
      <c r="O41" s="870"/>
      <c r="P41" s="870"/>
      <c r="Q41" s="872"/>
      <c r="R41" s="378"/>
      <c r="S41" s="808"/>
      <c r="T41" s="809"/>
      <c r="U41" s="809"/>
      <c r="V41" s="809"/>
      <c r="W41" s="809"/>
      <c r="X41" s="809"/>
      <c r="Y41" s="810"/>
      <c r="Z41" s="379"/>
      <c r="AA41" s="381"/>
      <c r="AB41" s="381"/>
      <c r="AC41" s="381"/>
      <c r="AD41" s="381"/>
      <c r="AE41" s="381"/>
      <c r="AF41" s="381"/>
      <c r="AG41" s="381"/>
      <c r="AH41" s="381"/>
      <c r="AI41" s="381"/>
      <c r="AJ41" s="381"/>
      <c r="AK41" s="381"/>
      <c r="AL41" s="381"/>
      <c r="AM41" s="381"/>
      <c r="AN41" s="381"/>
      <c r="AO41" s="381"/>
      <c r="AP41" s="381"/>
      <c r="AQ41" s="381"/>
      <c r="AR41" s="381"/>
      <c r="AS41" s="381"/>
      <c r="AT41" s="381"/>
      <c r="AU41" s="381"/>
    </row>
    <row r="42" spans="1:47" s="382" customFormat="1" ht="18" customHeight="1" thickBot="1" x14ac:dyDescent="0.5">
      <c r="A42" s="369"/>
      <c r="B42" s="858"/>
      <c r="C42" s="383" t="s">
        <v>242</v>
      </c>
      <c r="D42" s="384" t="s">
        <v>445</v>
      </c>
      <c r="E42" s="858"/>
      <c r="F42" s="690">
        <v>0</v>
      </c>
      <c r="G42" s="385">
        <v>15</v>
      </c>
      <c r="H42" s="861"/>
      <c r="I42" s="390"/>
      <c r="J42" s="391"/>
      <c r="K42" s="392">
        <f t="shared" si="2"/>
        <v>0</v>
      </c>
      <c r="L42" s="389"/>
      <c r="M42" s="866"/>
      <c r="N42" s="868"/>
      <c r="O42" s="870"/>
      <c r="P42" s="870"/>
      <c r="Q42" s="872"/>
      <c r="R42" s="378"/>
      <c r="S42" s="808"/>
      <c r="T42" s="809"/>
      <c r="U42" s="809"/>
      <c r="V42" s="809"/>
      <c r="W42" s="809"/>
      <c r="X42" s="809"/>
      <c r="Y42" s="810"/>
      <c r="Z42" s="379"/>
      <c r="AA42" s="381"/>
      <c r="AB42" s="381"/>
      <c r="AC42" s="381"/>
      <c r="AD42" s="381"/>
      <c r="AE42" s="381"/>
      <c r="AF42" s="381"/>
      <c r="AG42" s="381"/>
      <c r="AH42" s="381"/>
      <c r="AI42" s="381"/>
      <c r="AJ42" s="381"/>
      <c r="AK42" s="381"/>
      <c r="AL42" s="381"/>
      <c r="AM42" s="381"/>
      <c r="AN42" s="381"/>
      <c r="AO42" s="381"/>
      <c r="AP42" s="381"/>
      <c r="AQ42" s="381"/>
      <c r="AR42" s="381"/>
      <c r="AS42" s="381"/>
      <c r="AT42" s="381"/>
      <c r="AU42" s="381"/>
    </row>
    <row r="43" spans="1:47" s="382" customFormat="1" ht="25.9" thickBot="1" x14ac:dyDescent="0.5">
      <c r="A43" s="369"/>
      <c r="B43" s="858"/>
      <c r="C43" s="383" t="s">
        <v>244</v>
      </c>
      <c r="D43" s="384" t="s">
        <v>446</v>
      </c>
      <c r="E43" s="858"/>
      <c r="F43" s="690">
        <v>0</v>
      </c>
      <c r="G43" s="385">
        <v>15</v>
      </c>
      <c r="H43" s="861"/>
      <c r="I43" s="390"/>
      <c r="J43" s="391"/>
      <c r="K43" s="392">
        <f t="shared" si="2"/>
        <v>0</v>
      </c>
      <c r="L43" s="389"/>
      <c r="M43" s="866"/>
      <c r="N43" s="868"/>
      <c r="O43" s="870"/>
      <c r="P43" s="870"/>
      <c r="Q43" s="872"/>
      <c r="R43" s="378"/>
      <c r="S43" s="808"/>
      <c r="T43" s="809"/>
      <c r="U43" s="809"/>
      <c r="V43" s="809"/>
      <c r="W43" s="809"/>
      <c r="X43" s="809"/>
      <c r="Y43" s="810"/>
      <c r="Z43" s="379"/>
      <c r="AA43" s="381"/>
      <c r="AB43" s="381"/>
      <c r="AC43" s="381"/>
      <c r="AD43" s="381"/>
      <c r="AE43" s="381"/>
      <c r="AF43" s="381"/>
      <c r="AG43" s="381"/>
      <c r="AH43" s="381"/>
      <c r="AI43" s="381"/>
      <c r="AJ43" s="381"/>
      <c r="AK43" s="381"/>
      <c r="AL43" s="381"/>
      <c r="AM43" s="381"/>
      <c r="AN43" s="381"/>
      <c r="AO43" s="381"/>
      <c r="AP43" s="381"/>
      <c r="AQ43" s="381"/>
      <c r="AR43" s="381"/>
      <c r="AS43" s="381"/>
      <c r="AT43" s="381"/>
      <c r="AU43" s="381"/>
    </row>
    <row r="44" spans="1:47" s="382" customFormat="1" ht="18" customHeight="1" thickBot="1" x14ac:dyDescent="0.5">
      <c r="A44" s="369"/>
      <c r="B44" s="858"/>
      <c r="C44" s="383" t="s">
        <v>246</v>
      </c>
      <c r="D44" s="384" t="s">
        <v>447</v>
      </c>
      <c r="E44" s="858"/>
      <c r="F44" s="690">
        <v>0</v>
      </c>
      <c r="G44" s="385">
        <v>15</v>
      </c>
      <c r="H44" s="861"/>
      <c r="I44" s="390"/>
      <c r="J44" s="391"/>
      <c r="K44" s="392">
        <f t="shared" si="2"/>
        <v>0</v>
      </c>
      <c r="L44" s="389"/>
      <c r="M44" s="866"/>
      <c r="N44" s="868"/>
      <c r="O44" s="870"/>
      <c r="P44" s="870"/>
      <c r="Q44" s="872"/>
      <c r="R44" s="378"/>
      <c r="S44" s="808"/>
      <c r="T44" s="809"/>
      <c r="U44" s="809"/>
      <c r="V44" s="809"/>
      <c r="W44" s="809"/>
      <c r="X44" s="809"/>
      <c r="Y44" s="810"/>
      <c r="Z44" s="379"/>
      <c r="AA44" s="381"/>
      <c r="AB44" s="381"/>
      <c r="AC44" s="381"/>
      <c r="AD44" s="381"/>
      <c r="AE44" s="381"/>
      <c r="AF44" s="381"/>
      <c r="AG44" s="381"/>
      <c r="AH44" s="381"/>
      <c r="AI44" s="381"/>
      <c r="AJ44" s="381"/>
      <c r="AK44" s="381"/>
      <c r="AL44" s="381"/>
      <c r="AM44" s="381"/>
      <c r="AN44" s="381"/>
      <c r="AO44" s="381"/>
      <c r="AP44" s="381"/>
      <c r="AQ44" s="381"/>
      <c r="AR44" s="381"/>
      <c r="AS44" s="381"/>
      <c r="AT44" s="381"/>
      <c r="AU44" s="381"/>
    </row>
    <row r="45" spans="1:47" s="382" customFormat="1" ht="18" customHeight="1" thickBot="1" x14ac:dyDescent="0.5">
      <c r="A45" s="369"/>
      <c r="B45" s="858"/>
      <c r="C45" s="383" t="s">
        <v>275</v>
      </c>
      <c r="D45" s="384" t="s">
        <v>448</v>
      </c>
      <c r="E45" s="858"/>
      <c r="F45" s="690">
        <v>0</v>
      </c>
      <c r="G45" s="385">
        <v>15</v>
      </c>
      <c r="H45" s="861"/>
      <c r="I45" s="390"/>
      <c r="J45" s="391"/>
      <c r="K45" s="392">
        <f t="shared" si="2"/>
        <v>0</v>
      </c>
      <c r="L45" s="389"/>
      <c r="M45" s="866"/>
      <c r="N45" s="868"/>
      <c r="O45" s="870"/>
      <c r="P45" s="870"/>
      <c r="Q45" s="872"/>
      <c r="R45" s="378"/>
      <c r="S45" s="691"/>
      <c r="T45" s="692"/>
      <c r="U45" s="692"/>
      <c r="V45" s="692"/>
      <c r="W45" s="692"/>
      <c r="X45" s="692"/>
      <c r="Y45" s="693"/>
      <c r="Z45" s="379"/>
      <c r="AA45" s="381"/>
      <c r="AB45" s="381"/>
      <c r="AC45" s="381"/>
      <c r="AD45" s="381"/>
      <c r="AE45" s="381"/>
      <c r="AF45" s="381"/>
      <c r="AG45" s="381"/>
      <c r="AH45" s="381"/>
      <c r="AI45" s="381"/>
      <c r="AJ45" s="381"/>
      <c r="AK45" s="381"/>
      <c r="AL45" s="381"/>
      <c r="AM45" s="381"/>
      <c r="AN45" s="381"/>
      <c r="AO45" s="381"/>
      <c r="AP45" s="381"/>
      <c r="AQ45" s="381"/>
      <c r="AR45" s="381"/>
      <c r="AS45" s="381"/>
      <c r="AT45" s="381"/>
      <c r="AU45" s="381"/>
    </row>
    <row r="46" spans="1:47" s="382" customFormat="1" ht="18" customHeight="1" thickBot="1" x14ac:dyDescent="0.5">
      <c r="A46" s="369"/>
      <c r="B46" s="859"/>
      <c r="C46" s="383" t="s">
        <v>798</v>
      </c>
      <c r="D46" s="384" t="s">
        <v>799</v>
      </c>
      <c r="E46" s="859"/>
      <c r="F46" s="690">
        <v>0</v>
      </c>
      <c r="G46" s="385">
        <v>10</v>
      </c>
      <c r="H46" s="862"/>
      <c r="I46" s="393"/>
      <c r="J46" s="394"/>
      <c r="K46" s="395">
        <f t="shared" si="2"/>
        <v>0</v>
      </c>
      <c r="L46" s="389"/>
      <c r="M46" s="866"/>
      <c r="N46" s="868"/>
      <c r="O46" s="870"/>
      <c r="P46" s="870"/>
      <c r="Q46" s="872"/>
      <c r="R46" s="378"/>
      <c r="S46" s="808"/>
      <c r="T46" s="809"/>
      <c r="U46" s="809"/>
      <c r="V46" s="809"/>
      <c r="W46" s="809"/>
      <c r="X46" s="809"/>
      <c r="Y46" s="810"/>
      <c r="Z46" s="379"/>
      <c r="AA46" s="381"/>
      <c r="AB46" s="381"/>
      <c r="AC46" s="381"/>
      <c r="AD46" s="381"/>
      <c r="AE46" s="381"/>
      <c r="AF46" s="381"/>
      <c r="AG46" s="381"/>
      <c r="AH46" s="381"/>
      <c r="AI46" s="381"/>
      <c r="AJ46" s="381"/>
      <c r="AK46" s="381"/>
      <c r="AL46" s="381"/>
      <c r="AM46" s="381"/>
      <c r="AN46" s="381"/>
      <c r="AO46" s="381"/>
      <c r="AP46" s="381"/>
      <c r="AQ46" s="381"/>
      <c r="AR46" s="381"/>
      <c r="AS46" s="381"/>
      <c r="AT46" s="381"/>
      <c r="AU46" s="381"/>
    </row>
    <row r="47" spans="1:47" s="382" customFormat="1" ht="18" customHeight="1" thickBot="1" x14ac:dyDescent="0.5">
      <c r="A47" s="369"/>
      <c r="B47" s="396" t="s">
        <v>449</v>
      </c>
      <c r="C47" s="874" t="s">
        <v>450</v>
      </c>
      <c r="D47" s="875"/>
      <c r="E47" s="397">
        <f>IF(SUM(F48:F53)&lt;AA47,0,IF(SUM(F48:F53)&gt;100,100,SUM(F48:F53)))</f>
        <v>0</v>
      </c>
      <c r="F47" s="398"/>
      <c r="G47" s="399">
        <v>100</v>
      </c>
      <c r="H47" s="400">
        <v>3</v>
      </c>
      <c r="I47" s="401">
        <f>ROUND(E47*H47,0)</f>
        <v>0</v>
      </c>
      <c r="J47" s="402">
        <f>G47*H47</f>
        <v>300</v>
      </c>
      <c r="K47" s="403">
        <f>ROUND(I47/J47,3)</f>
        <v>0</v>
      </c>
      <c r="L47" s="407">
        <f>J47/N$12*P$12</f>
        <v>1.6666666666666666E-2</v>
      </c>
      <c r="M47" s="866"/>
      <c r="N47" s="868"/>
      <c r="O47" s="870"/>
      <c r="P47" s="870"/>
      <c r="Q47" s="872"/>
      <c r="R47" s="378"/>
      <c r="S47" s="808"/>
      <c r="T47" s="809"/>
      <c r="U47" s="809"/>
      <c r="V47" s="809"/>
      <c r="W47" s="809"/>
      <c r="X47" s="809"/>
      <c r="Y47" s="810"/>
      <c r="Z47" s="379"/>
      <c r="AA47" s="380">
        <v>25</v>
      </c>
      <c r="AB47" s="381"/>
      <c r="AC47" s="381"/>
      <c r="AD47" s="381"/>
      <c r="AE47" s="381"/>
      <c r="AF47" s="381"/>
      <c r="AG47" s="381"/>
      <c r="AH47" s="381"/>
      <c r="AI47" s="381"/>
      <c r="AJ47" s="381"/>
      <c r="AK47" s="381"/>
      <c r="AL47" s="381"/>
      <c r="AM47" s="381"/>
      <c r="AN47" s="381"/>
      <c r="AO47" s="381"/>
      <c r="AP47" s="381"/>
      <c r="AQ47" s="381"/>
      <c r="AR47" s="381"/>
      <c r="AS47" s="381"/>
      <c r="AT47" s="381"/>
      <c r="AU47" s="381"/>
    </row>
    <row r="48" spans="1:47" s="382" customFormat="1" ht="25.9" thickBot="1" x14ac:dyDescent="0.5">
      <c r="A48" s="369"/>
      <c r="B48" s="857"/>
      <c r="C48" s="383" t="s">
        <v>238</v>
      </c>
      <c r="D48" s="384" t="s">
        <v>451</v>
      </c>
      <c r="E48" s="857"/>
      <c r="F48" s="690">
        <v>0</v>
      </c>
      <c r="G48" s="385">
        <v>45</v>
      </c>
      <c r="H48" s="860"/>
      <c r="I48" s="386"/>
      <c r="J48" s="387"/>
      <c r="K48" s="388">
        <f t="shared" ref="K48:K53" si="3">ROUND(F48/G48,3)</f>
        <v>0</v>
      </c>
      <c r="L48" s="389"/>
      <c r="M48" s="866"/>
      <c r="N48" s="868"/>
      <c r="O48" s="870"/>
      <c r="P48" s="870"/>
      <c r="Q48" s="872"/>
      <c r="R48" s="378"/>
      <c r="S48" s="808"/>
      <c r="T48" s="809"/>
      <c r="U48" s="809"/>
      <c r="V48" s="809"/>
      <c r="W48" s="809"/>
      <c r="X48" s="809"/>
      <c r="Y48" s="810"/>
      <c r="Z48" s="379"/>
      <c r="AA48" s="381"/>
      <c r="AB48" s="381"/>
      <c r="AC48" s="381"/>
      <c r="AD48" s="381"/>
      <c r="AE48" s="381"/>
      <c r="AF48" s="381"/>
      <c r="AG48" s="381"/>
      <c r="AH48" s="381"/>
      <c r="AI48" s="381"/>
      <c r="AJ48" s="381"/>
      <c r="AK48" s="381"/>
      <c r="AL48" s="381"/>
      <c r="AM48" s="381"/>
      <c r="AN48" s="381"/>
      <c r="AO48" s="381"/>
      <c r="AP48" s="381"/>
      <c r="AQ48" s="381"/>
      <c r="AR48" s="381"/>
      <c r="AS48" s="381"/>
      <c r="AT48" s="381"/>
      <c r="AU48" s="381"/>
    </row>
    <row r="49" spans="1:47" s="382" customFormat="1" ht="25.9" thickBot="1" x14ac:dyDescent="0.5">
      <c r="A49" s="369"/>
      <c r="B49" s="858"/>
      <c r="C49" s="383" t="s">
        <v>283</v>
      </c>
      <c r="D49" s="384" t="s">
        <v>452</v>
      </c>
      <c r="E49" s="858"/>
      <c r="F49" s="690">
        <v>0</v>
      </c>
      <c r="G49" s="385">
        <v>15</v>
      </c>
      <c r="H49" s="861"/>
      <c r="I49" s="390"/>
      <c r="J49" s="391"/>
      <c r="K49" s="392">
        <f t="shared" si="3"/>
        <v>0</v>
      </c>
      <c r="L49" s="389"/>
      <c r="M49" s="866"/>
      <c r="N49" s="868"/>
      <c r="O49" s="870"/>
      <c r="P49" s="870"/>
      <c r="Q49" s="872"/>
      <c r="R49" s="378"/>
      <c r="S49" s="808"/>
      <c r="T49" s="809"/>
      <c r="U49" s="809"/>
      <c r="V49" s="809"/>
      <c r="W49" s="809"/>
      <c r="X49" s="809"/>
      <c r="Y49" s="810"/>
      <c r="Z49" s="379"/>
      <c r="AA49" s="381"/>
      <c r="AB49" s="381"/>
      <c r="AC49" s="381"/>
      <c r="AD49" s="381"/>
      <c r="AE49" s="381"/>
      <c r="AF49" s="381"/>
      <c r="AG49" s="381"/>
      <c r="AH49" s="381"/>
      <c r="AI49" s="381"/>
      <c r="AJ49" s="381"/>
      <c r="AK49" s="381"/>
      <c r="AL49" s="381"/>
      <c r="AM49" s="381"/>
      <c r="AN49" s="381"/>
      <c r="AO49" s="381"/>
      <c r="AP49" s="381"/>
      <c r="AQ49" s="381"/>
      <c r="AR49" s="381"/>
      <c r="AS49" s="381"/>
      <c r="AT49" s="381"/>
      <c r="AU49" s="381"/>
    </row>
    <row r="50" spans="1:47" s="382" customFormat="1" ht="18" customHeight="1" thickBot="1" x14ac:dyDescent="0.5">
      <c r="A50" s="369"/>
      <c r="B50" s="858"/>
      <c r="C50" s="383" t="s">
        <v>268</v>
      </c>
      <c r="D50" s="384" t="s">
        <v>453</v>
      </c>
      <c r="E50" s="858"/>
      <c r="F50" s="690">
        <v>0</v>
      </c>
      <c r="G50" s="385">
        <v>10</v>
      </c>
      <c r="H50" s="861"/>
      <c r="I50" s="390"/>
      <c r="J50" s="391"/>
      <c r="K50" s="392">
        <f t="shared" si="3"/>
        <v>0</v>
      </c>
      <c r="L50" s="389"/>
      <c r="M50" s="866"/>
      <c r="N50" s="868"/>
      <c r="O50" s="870"/>
      <c r="P50" s="870"/>
      <c r="Q50" s="872"/>
      <c r="R50" s="378"/>
      <c r="S50" s="808"/>
      <c r="T50" s="809"/>
      <c r="U50" s="809"/>
      <c r="V50" s="809"/>
      <c r="W50" s="809"/>
      <c r="X50" s="809"/>
      <c r="Y50" s="810"/>
      <c r="Z50" s="379"/>
      <c r="AA50" s="381"/>
      <c r="AB50" s="381"/>
      <c r="AC50" s="381"/>
      <c r="AD50" s="381"/>
      <c r="AE50" s="381"/>
      <c r="AF50" s="381"/>
      <c r="AG50" s="381"/>
      <c r="AH50" s="381"/>
      <c r="AI50" s="381"/>
      <c r="AJ50" s="381"/>
      <c r="AK50" s="381"/>
      <c r="AL50" s="381"/>
      <c r="AM50" s="381"/>
      <c r="AN50" s="381"/>
      <c r="AO50" s="381"/>
      <c r="AP50" s="381"/>
      <c r="AQ50" s="381"/>
      <c r="AR50" s="381"/>
      <c r="AS50" s="381"/>
      <c r="AT50" s="381"/>
      <c r="AU50" s="381"/>
    </row>
    <row r="51" spans="1:47" s="382" customFormat="1" ht="18" customHeight="1" thickBot="1" x14ac:dyDescent="0.5">
      <c r="A51" s="369"/>
      <c r="B51" s="858"/>
      <c r="C51" s="383" t="s">
        <v>285</v>
      </c>
      <c r="D51" s="384" t="s">
        <v>454</v>
      </c>
      <c r="E51" s="858"/>
      <c r="F51" s="690">
        <v>0</v>
      </c>
      <c r="G51" s="385">
        <v>15</v>
      </c>
      <c r="H51" s="861"/>
      <c r="I51" s="390"/>
      <c r="J51" s="391"/>
      <c r="K51" s="392">
        <f t="shared" si="3"/>
        <v>0</v>
      </c>
      <c r="L51" s="389"/>
      <c r="M51" s="866"/>
      <c r="N51" s="868"/>
      <c r="O51" s="870"/>
      <c r="P51" s="870"/>
      <c r="Q51" s="872"/>
      <c r="R51" s="378"/>
      <c r="S51" s="691"/>
      <c r="T51" s="692"/>
      <c r="U51" s="692"/>
      <c r="V51" s="692"/>
      <c r="W51" s="692"/>
      <c r="X51" s="692"/>
      <c r="Y51" s="693"/>
      <c r="Z51" s="379"/>
      <c r="AA51" s="381"/>
      <c r="AB51" s="381"/>
      <c r="AC51" s="381"/>
      <c r="AD51" s="381"/>
      <c r="AE51" s="381"/>
      <c r="AF51" s="381"/>
      <c r="AG51" s="381"/>
      <c r="AH51" s="381"/>
      <c r="AI51" s="381"/>
      <c r="AJ51" s="381"/>
      <c r="AK51" s="381"/>
      <c r="AL51" s="381"/>
      <c r="AM51" s="381"/>
      <c r="AN51" s="381"/>
      <c r="AO51" s="381"/>
      <c r="AP51" s="381"/>
      <c r="AQ51" s="381"/>
      <c r="AR51" s="381"/>
      <c r="AS51" s="381"/>
      <c r="AT51" s="381"/>
      <c r="AU51" s="381"/>
    </row>
    <row r="52" spans="1:47" s="382" customFormat="1" ht="18" customHeight="1" thickBot="1" x14ac:dyDescent="0.5">
      <c r="A52" s="369"/>
      <c r="B52" s="858"/>
      <c r="C52" s="383" t="s">
        <v>321</v>
      </c>
      <c r="D52" s="384" t="s">
        <v>800</v>
      </c>
      <c r="E52" s="858"/>
      <c r="F52" s="690">
        <v>0</v>
      </c>
      <c r="G52" s="385">
        <v>10</v>
      </c>
      <c r="H52" s="861"/>
      <c r="I52" s="390"/>
      <c r="J52" s="391"/>
      <c r="K52" s="392">
        <f t="shared" si="3"/>
        <v>0</v>
      </c>
      <c r="L52" s="389"/>
      <c r="M52" s="866"/>
      <c r="N52" s="868"/>
      <c r="O52" s="870"/>
      <c r="P52" s="870"/>
      <c r="Q52" s="872"/>
      <c r="R52" s="378"/>
      <c r="S52" s="691"/>
      <c r="T52" s="692"/>
      <c r="U52" s="692"/>
      <c r="V52" s="692"/>
      <c r="W52" s="692"/>
      <c r="X52" s="692"/>
      <c r="Y52" s="693"/>
      <c r="Z52" s="379"/>
      <c r="AA52" s="381"/>
      <c r="AB52" s="381"/>
      <c r="AC52" s="381"/>
      <c r="AD52" s="381"/>
      <c r="AE52" s="381"/>
      <c r="AF52" s="381"/>
      <c r="AG52" s="381"/>
      <c r="AH52" s="381"/>
      <c r="AI52" s="381"/>
      <c r="AJ52" s="381"/>
      <c r="AK52" s="381"/>
      <c r="AL52" s="381"/>
      <c r="AM52" s="381"/>
      <c r="AN52" s="381"/>
      <c r="AO52" s="381"/>
      <c r="AP52" s="381"/>
      <c r="AQ52" s="381"/>
      <c r="AR52" s="381"/>
      <c r="AS52" s="381"/>
      <c r="AT52" s="381"/>
      <c r="AU52" s="381"/>
    </row>
    <row r="53" spans="1:47" s="382" customFormat="1" ht="18" customHeight="1" thickBot="1" x14ac:dyDescent="0.5">
      <c r="A53" s="369"/>
      <c r="B53" s="858"/>
      <c r="C53" s="383" t="s">
        <v>735</v>
      </c>
      <c r="D53" s="384" t="s">
        <v>727</v>
      </c>
      <c r="E53" s="858"/>
      <c r="F53" s="690">
        <v>0</v>
      </c>
      <c r="G53" s="385">
        <v>5</v>
      </c>
      <c r="H53" s="862"/>
      <c r="I53" s="393"/>
      <c r="J53" s="394"/>
      <c r="K53" s="392">
        <f t="shared" si="3"/>
        <v>0</v>
      </c>
      <c r="L53" s="389"/>
      <c r="M53" s="866"/>
      <c r="N53" s="868"/>
      <c r="O53" s="870"/>
      <c r="P53" s="870"/>
      <c r="Q53" s="872"/>
      <c r="R53" s="378"/>
      <c r="S53" s="808"/>
      <c r="T53" s="809"/>
      <c r="U53" s="809"/>
      <c r="V53" s="809"/>
      <c r="W53" s="809"/>
      <c r="X53" s="809"/>
      <c r="Y53" s="810"/>
      <c r="Z53" s="379"/>
      <c r="AA53" s="381"/>
      <c r="AB53" s="381"/>
      <c r="AC53" s="381"/>
      <c r="AD53" s="381"/>
      <c r="AE53" s="381"/>
      <c r="AF53" s="381"/>
      <c r="AG53" s="381"/>
      <c r="AH53" s="381"/>
      <c r="AI53" s="381"/>
      <c r="AJ53" s="381"/>
      <c r="AK53" s="381"/>
      <c r="AL53" s="381"/>
      <c r="AM53" s="381"/>
      <c r="AN53" s="381"/>
      <c r="AO53" s="381"/>
      <c r="AP53" s="381"/>
      <c r="AQ53" s="381"/>
      <c r="AR53" s="381"/>
      <c r="AS53" s="381"/>
      <c r="AT53" s="381"/>
      <c r="AU53" s="381"/>
    </row>
    <row r="54" spans="1:47" s="382" customFormat="1" ht="18" customHeight="1" thickBot="1" x14ac:dyDescent="0.5">
      <c r="A54" s="408"/>
      <c r="B54" s="370" t="s">
        <v>236</v>
      </c>
      <c r="C54" s="863" t="s">
        <v>237</v>
      </c>
      <c r="D54" s="864"/>
      <c r="E54" s="371">
        <f>IF(0.4*F55+0.15*F56+0.15*F57+0.15*F58+0.15*F59&lt;AA54,0,IF((0.4*F55+0.15*F56+0.15*F57+0.15*F58+0.15*F59)&gt;100,100,(0.4*F55+0.15*F56+0.15*F57+0.15*F58+0.15*F59)))</f>
        <v>0</v>
      </c>
      <c r="F54" s="409"/>
      <c r="G54" s="373">
        <v>100</v>
      </c>
      <c r="H54" s="373">
        <v>7</v>
      </c>
      <c r="I54" s="374">
        <f>ROUND(E54*H54,0)</f>
        <v>0</v>
      </c>
      <c r="J54" s="375">
        <f>G54*H54</f>
        <v>700</v>
      </c>
      <c r="K54" s="376">
        <f>ROUND(I54/J54,3)</f>
        <v>0</v>
      </c>
      <c r="L54" s="407">
        <f>J54/N$54*P$54</f>
        <v>7.8750000000000001E-2</v>
      </c>
      <c r="M54" s="876">
        <f>SUM(I54:I70)</f>
        <v>0</v>
      </c>
      <c r="N54" s="879">
        <f>SUM(J54:J70)</f>
        <v>2000</v>
      </c>
      <c r="O54" s="882">
        <f>SUM(M54/N54)</f>
        <v>0</v>
      </c>
      <c r="P54" s="882">
        <v>0.22500000000000001</v>
      </c>
      <c r="Q54" s="872"/>
      <c r="R54" s="410"/>
      <c r="S54" s="808"/>
      <c r="T54" s="809"/>
      <c r="U54" s="809"/>
      <c r="V54" s="809"/>
      <c r="W54" s="809"/>
      <c r="X54" s="809"/>
      <c r="Y54" s="810"/>
      <c r="Z54" s="379"/>
      <c r="AA54" s="411">
        <v>10</v>
      </c>
      <c r="AB54" s="381"/>
      <c r="AC54" s="381"/>
      <c r="AD54" s="381"/>
      <c r="AE54" s="381"/>
      <c r="AF54" s="381"/>
      <c r="AG54" s="381"/>
      <c r="AH54" s="381"/>
      <c r="AI54" s="381"/>
      <c r="AJ54" s="381"/>
      <c r="AK54" s="381"/>
      <c r="AL54" s="381"/>
      <c r="AM54" s="381"/>
      <c r="AN54" s="381"/>
      <c r="AO54" s="381"/>
      <c r="AP54" s="381"/>
      <c r="AQ54" s="381"/>
      <c r="AR54" s="381"/>
      <c r="AS54" s="381"/>
      <c r="AT54" s="381"/>
      <c r="AU54" s="381"/>
    </row>
    <row r="55" spans="1:47" s="382" customFormat="1" ht="18" customHeight="1" x14ac:dyDescent="0.45">
      <c r="A55" s="408"/>
      <c r="B55" s="857"/>
      <c r="C55" s="383" t="s">
        <v>238</v>
      </c>
      <c r="D55" s="384" t="s">
        <v>239</v>
      </c>
      <c r="E55" s="857"/>
      <c r="F55" s="690">
        <v>0</v>
      </c>
      <c r="G55" s="385">
        <v>100</v>
      </c>
      <c r="H55" s="860"/>
      <c r="I55" s="386"/>
      <c r="J55" s="387"/>
      <c r="K55" s="388">
        <f>ROUND(F55/G55,3)</f>
        <v>0</v>
      </c>
      <c r="L55" s="389"/>
      <c r="M55" s="877"/>
      <c r="N55" s="880"/>
      <c r="O55" s="883"/>
      <c r="P55" s="883"/>
      <c r="Q55" s="872"/>
      <c r="R55" s="378"/>
      <c r="S55" s="808"/>
      <c r="T55" s="809"/>
      <c r="U55" s="809"/>
      <c r="V55" s="809"/>
      <c r="W55" s="809"/>
      <c r="X55" s="809"/>
      <c r="Y55" s="810"/>
      <c r="Z55" s="379"/>
      <c r="AA55" s="381"/>
      <c r="AB55" s="381"/>
      <c r="AC55" s="381"/>
      <c r="AD55" s="381"/>
      <c r="AE55" s="381"/>
      <c r="AF55" s="381"/>
      <c r="AG55" s="381"/>
      <c r="AH55" s="381"/>
      <c r="AI55" s="381"/>
      <c r="AJ55" s="381"/>
      <c r="AK55" s="381"/>
      <c r="AL55" s="381"/>
      <c r="AM55" s="381"/>
      <c r="AN55" s="381"/>
      <c r="AO55" s="381"/>
      <c r="AP55" s="381"/>
      <c r="AQ55" s="381"/>
      <c r="AR55" s="381"/>
      <c r="AS55" s="381"/>
      <c r="AT55" s="381"/>
      <c r="AU55" s="381"/>
    </row>
    <row r="56" spans="1:47" s="382" customFormat="1" ht="18" customHeight="1" x14ac:dyDescent="0.45">
      <c r="A56" s="408"/>
      <c r="B56" s="858"/>
      <c r="C56" s="383" t="s">
        <v>240</v>
      </c>
      <c r="D56" s="384" t="s">
        <v>241</v>
      </c>
      <c r="E56" s="858"/>
      <c r="F56" s="690">
        <v>0</v>
      </c>
      <c r="G56" s="385">
        <v>100</v>
      </c>
      <c r="H56" s="861"/>
      <c r="I56" s="390"/>
      <c r="J56" s="391"/>
      <c r="K56" s="392">
        <f>ROUND(F56/G56,3)</f>
        <v>0</v>
      </c>
      <c r="L56" s="389"/>
      <c r="M56" s="877"/>
      <c r="N56" s="880"/>
      <c r="O56" s="883"/>
      <c r="P56" s="883"/>
      <c r="Q56" s="872"/>
      <c r="R56" s="378"/>
      <c r="S56" s="808"/>
      <c r="T56" s="809"/>
      <c r="U56" s="809"/>
      <c r="V56" s="809"/>
      <c r="W56" s="809"/>
      <c r="X56" s="809"/>
      <c r="Y56" s="810"/>
      <c r="Z56" s="379"/>
      <c r="AA56" s="381"/>
      <c r="AB56" s="381"/>
      <c r="AC56" s="381"/>
      <c r="AD56" s="381"/>
      <c r="AE56" s="381"/>
      <c r="AF56" s="381"/>
      <c r="AG56" s="381"/>
      <c r="AH56" s="381"/>
      <c r="AI56" s="381"/>
      <c r="AJ56" s="381"/>
      <c r="AK56" s="381"/>
      <c r="AL56" s="381"/>
      <c r="AM56" s="381"/>
      <c r="AN56" s="381"/>
      <c r="AO56" s="381"/>
      <c r="AP56" s="381"/>
      <c r="AQ56" s="381"/>
      <c r="AR56" s="381"/>
      <c r="AS56" s="381"/>
      <c r="AT56" s="381"/>
      <c r="AU56" s="381"/>
    </row>
    <row r="57" spans="1:47" s="382" customFormat="1" ht="18" customHeight="1" x14ac:dyDescent="0.45">
      <c r="A57" s="408"/>
      <c r="B57" s="858"/>
      <c r="C57" s="383" t="s">
        <v>242</v>
      </c>
      <c r="D57" s="384" t="s">
        <v>243</v>
      </c>
      <c r="E57" s="858"/>
      <c r="F57" s="690">
        <v>0</v>
      </c>
      <c r="G57" s="385">
        <v>100</v>
      </c>
      <c r="H57" s="861"/>
      <c r="I57" s="390"/>
      <c r="J57" s="391"/>
      <c r="K57" s="392">
        <f>ROUND(F57/G57,3)</f>
        <v>0</v>
      </c>
      <c r="L57" s="389"/>
      <c r="M57" s="877"/>
      <c r="N57" s="880"/>
      <c r="O57" s="883"/>
      <c r="P57" s="883"/>
      <c r="Q57" s="872"/>
      <c r="R57" s="378"/>
      <c r="S57" s="808"/>
      <c r="T57" s="809"/>
      <c r="U57" s="809"/>
      <c r="V57" s="809"/>
      <c r="W57" s="809"/>
      <c r="X57" s="809"/>
      <c r="Y57" s="810"/>
      <c r="Z57" s="379"/>
      <c r="AA57" s="381"/>
      <c r="AB57" s="381"/>
      <c r="AC57" s="381"/>
      <c r="AD57" s="381"/>
      <c r="AE57" s="381"/>
      <c r="AF57" s="381"/>
      <c r="AG57" s="381"/>
      <c r="AH57" s="381"/>
      <c r="AI57" s="381"/>
      <c r="AJ57" s="381"/>
      <c r="AK57" s="381"/>
      <c r="AL57" s="381"/>
      <c r="AM57" s="381"/>
      <c r="AN57" s="381"/>
      <c r="AO57" s="381"/>
      <c r="AP57" s="381"/>
      <c r="AQ57" s="381"/>
      <c r="AR57" s="381"/>
      <c r="AS57" s="381"/>
      <c r="AT57" s="381"/>
      <c r="AU57" s="381"/>
    </row>
    <row r="58" spans="1:47" s="382" customFormat="1" ht="18" customHeight="1" x14ac:dyDescent="0.45">
      <c r="A58" s="408"/>
      <c r="B58" s="858"/>
      <c r="C58" s="383" t="s">
        <v>244</v>
      </c>
      <c r="D58" s="384" t="s">
        <v>245</v>
      </c>
      <c r="E58" s="858"/>
      <c r="F58" s="690">
        <v>0</v>
      </c>
      <c r="G58" s="385">
        <v>100</v>
      </c>
      <c r="H58" s="861"/>
      <c r="I58" s="390"/>
      <c r="J58" s="391"/>
      <c r="K58" s="392">
        <f>ROUND(F58/G58,3)</f>
        <v>0</v>
      </c>
      <c r="L58" s="389"/>
      <c r="M58" s="877"/>
      <c r="N58" s="880"/>
      <c r="O58" s="883"/>
      <c r="P58" s="883"/>
      <c r="Q58" s="872"/>
      <c r="R58" s="378"/>
      <c r="S58" s="808"/>
      <c r="T58" s="809"/>
      <c r="U58" s="809"/>
      <c r="V58" s="809"/>
      <c r="W58" s="809"/>
      <c r="X58" s="809"/>
      <c r="Y58" s="810"/>
      <c r="Z58" s="379"/>
      <c r="AA58" s="381"/>
      <c r="AB58" s="381"/>
      <c r="AC58" s="381"/>
      <c r="AD58" s="381"/>
      <c r="AE58" s="381"/>
      <c r="AF58" s="381"/>
      <c r="AG58" s="381"/>
      <c r="AH58" s="381"/>
      <c r="AI58" s="381"/>
      <c r="AJ58" s="381"/>
      <c r="AK58" s="381"/>
      <c r="AL58" s="381"/>
      <c r="AM58" s="381"/>
      <c r="AN58" s="381"/>
      <c r="AO58" s="381"/>
      <c r="AP58" s="381"/>
      <c r="AQ58" s="381"/>
      <c r="AR58" s="381"/>
      <c r="AS58" s="381"/>
      <c r="AT58" s="381"/>
      <c r="AU58" s="381"/>
    </row>
    <row r="59" spans="1:47" s="382" customFormat="1" ht="18" customHeight="1" x14ac:dyDescent="0.45">
      <c r="A59" s="408"/>
      <c r="B59" s="859"/>
      <c r="C59" s="383" t="s">
        <v>246</v>
      </c>
      <c r="D59" s="384" t="s">
        <v>247</v>
      </c>
      <c r="E59" s="859"/>
      <c r="F59" s="690">
        <v>0</v>
      </c>
      <c r="G59" s="385">
        <v>100</v>
      </c>
      <c r="H59" s="862"/>
      <c r="I59" s="393"/>
      <c r="J59" s="394"/>
      <c r="K59" s="395">
        <f>ROUND(F59/G59,3)</f>
        <v>0</v>
      </c>
      <c r="L59" s="389"/>
      <c r="M59" s="877"/>
      <c r="N59" s="880"/>
      <c r="O59" s="883"/>
      <c r="P59" s="883"/>
      <c r="Q59" s="872"/>
      <c r="R59" s="378"/>
      <c r="S59" s="808"/>
      <c r="T59" s="809"/>
      <c r="U59" s="809"/>
      <c r="V59" s="809"/>
      <c r="W59" s="809"/>
      <c r="X59" s="809"/>
      <c r="Y59" s="810"/>
      <c r="Z59" s="379"/>
      <c r="AA59" s="381"/>
      <c r="AB59" s="381"/>
      <c r="AC59" s="381"/>
      <c r="AD59" s="381"/>
      <c r="AE59" s="381"/>
      <c r="AF59" s="381"/>
      <c r="AG59" s="381"/>
      <c r="AH59" s="381"/>
      <c r="AI59" s="381"/>
      <c r="AJ59" s="381"/>
      <c r="AK59" s="381"/>
      <c r="AL59" s="381"/>
      <c r="AM59" s="381"/>
      <c r="AN59" s="381"/>
      <c r="AO59" s="381"/>
      <c r="AP59" s="381"/>
      <c r="AQ59" s="381"/>
      <c r="AR59" s="381"/>
      <c r="AS59" s="381"/>
      <c r="AT59" s="381"/>
      <c r="AU59" s="381"/>
    </row>
    <row r="60" spans="1:47" s="382" customFormat="1" ht="18" customHeight="1" thickBot="1" x14ac:dyDescent="0.5">
      <c r="A60" s="408"/>
      <c r="B60" s="405" t="s">
        <v>248</v>
      </c>
      <c r="C60" s="874" t="s">
        <v>249</v>
      </c>
      <c r="D60" s="875"/>
      <c r="E60" s="694">
        <v>0</v>
      </c>
      <c r="F60" s="412"/>
      <c r="G60" s="399">
        <v>100</v>
      </c>
      <c r="H60" s="400">
        <v>3</v>
      </c>
      <c r="I60" s="406">
        <f>ROUND(E60*H60,0)</f>
        <v>0</v>
      </c>
      <c r="J60" s="402">
        <f>G60*H60</f>
        <v>300</v>
      </c>
      <c r="K60" s="403">
        <f t="shared" ref="K60:K65" si="4">ROUND(I60/J60,3)</f>
        <v>0</v>
      </c>
      <c r="L60" s="377">
        <f>J60/N$54*P$54</f>
        <v>3.3750000000000002E-2</v>
      </c>
      <c r="M60" s="877"/>
      <c r="N60" s="880"/>
      <c r="O60" s="883"/>
      <c r="P60" s="883"/>
      <c r="Q60" s="872"/>
      <c r="R60" s="378"/>
      <c r="S60" s="808"/>
      <c r="T60" s="809"/>
      <c r="U60" s="809"/>
      <c r="V60" s="809"/>
      <c r="W60" s="809"/>
      <c r="X60" s="809"/>
      <c r="Y60" s="810"/>
      <c r="Z60" s="379"/>
      <c r="AA60" s="411">
        <v>10</v>
      </c>
      <c r="AB60" s="381"/>
      <c r="AC60" s="381"/>
      <c r="AD60" s="381"/>
      <c r="AE60" s="381"/>
      <c r="AF60" s="381"/>
      <c r="AG60" s="381"/>
      <c r="AH60" s="381"/>
      <c r="AI60" s="381"/>
      <c r="AJ60" s="381"/>
      <c r="AK60" s="381"/>
      <c r="AL60" s="381"/>
      <c r="AM60" s="381"/>
      <c r="AN60" s="381"/>
      <c r="AO60" s="381"/>
      <c r="AP60" s="381"/>
      <c r="AQ60" s="381"/>
      <c r="AR60" s="381"/>
      <c r="AS60" s="381"/>
      <c r="AT60" s="381"/>
      <c r="AU60" s="381"/>
    </row>
    <row r="61" spans="1:47" s="382" customFormat="1" ht="18" customHeight="1" thickBot="1" x14ac:dyDescent="0.5">
      <c r="A61" s="408"/>
      <c r="B61" s="405" t="s">
        <v>250</v>
      </c>
      <c r="C61" s="874" t="s">
        <v>251</v>
      </c>
      <c r="D61" s="875"/>
      <c r="E61" s="397">
        <f>IF(SUM(F62:F64)&lt;AA61,0,IF(SUM(F62:F64)&gt;100,100,SUM(F62:F64)))</f>
        <v>0</v>
      </c>
      <c r="F61" s="412"/>
      <c r="G61" s="399">
        <v>100</v>
      </c>
      <c r="H61" s="400">
        <v>1</v>
      </c>
      <c r="I61" s="406">
        <f>ROUND(E61*H61,0)</f>
        <v>0</v>
      </c>
      <c r="J61" s="402">
        <f>G61*H61</f>
        <v>100</v>
      </c>
      <c r="K61" s="403">
        <f t="shared" si="4"/>
        <v>0</v>
      </c>
      <c r="L61" s="377">
        <f>J61/N$54*P$54</f>
        <v>1.1250000000000001E-2</v>
      </c>
      <c r="M61" s="877"/>
      <c r="N61" s="880"/>
      <c r="O61" s="883"/>
      <c r="P61" s="883"/>
      <c r="Q61" s="872"/>
      <c r="R61" s="378"/>
      <c r="S61" s="808"/>
      <c r="T61" s="809"/>
      <c r="U61" s="809"/>
      <c r="V61" s="809"/>
      <c r="W61" s="809"/>
      <c r="X61" s="809"/>
      <c r="Y61" s="810"/>
      <c r="Z61" s="379"/>
      <c r="AA61" s="380">
        <v>10</v>
      </c>
      <c r="AB61" s="381"/>
      <c r="AC61" s="381"/>
      <c r="AD61" s="381"/>
      <c r="AE61" s="381"/>
      <c r="AF61" s="381"/>
      <c r="AG61" s="381"/>
      <c r="AH61" s="381"/>
      <c r="AI61" s="381"/>
      <c r="AJ61" s="381"/>
      <c r="AK61" s="381"/>
      <c r="AL61" s="381"/>
      <c r="AM61" s="381"/>
      <c r="AN61" s="381"/>
      <c r="AO61" s="381"/>
      <c r="AP61" s="381"/>
      <c r="AQ61" s="381"/>
      <c r="AR61" s="381"/>
      <c r="AS61" s="381"/>
      <c r="AT61" s="381"/>
      <c r="AU61" s="381"/>
    </row>
    <row r="62" spans="1:47" s="382" customFormat="1" ht="18" customHeight="1" x14ac:dyDescent="0.45">
      <c r="A62" s="408"/>
      <c r="B62" s="857"/>
      <c r="C62" s="383" t="s">
        <v>238</v>
      </c>
      <c r="D62" s="384" t="s">
        <v>252</v>
      </c>
      <c r="E62" s="857"/>
      <c r="F62" s="690">
        <v>0</v>
      </c>
      <c r="G62" s="385">
        <v>45</v>
      </c>
      <c r="H62" s="860"/>
      <c r="I62" s="413"/>
      <c r="J62" s="414"/>
      <c r="K62" s="388">
        <f>ROUND(F62/G62,3)</f>
        <v>0</v>
      </c>
      <c r="L62" s="389"/>
      <c r="M62" s="877"/>
      <c r="N62" s="880"/>
      <c r="O62" s="883"/>
      <c r="P62" s="883"/>
      <c r="Q62" s="872"/>
      <c r="R62" s="378"/>
      <c r="S62" s="808"/>
      <c r="T62" s="809"/>
      <c r="U62" s="809"/>
      <c r="V62" s="809"/>
      <c r="W62" s="809"/>
      <c r="X62" s="809"/>
      <c r="Y62" s="810"/>
      <c r="Z62" s="379"/>
      <c r="AA62" s="415"/>
      <c r="AB62" s="381"/>
      <c r="AC62" s="381"/>
      <c r="AD62" s="381"/>
      <c r="AE62" s="381"/>
      <c r="AF62" s="381"/>
      <c r="AG62" s="381"/>
      <c r="AH62" s="381"/>
      <c r="AI62" s="381"/>
      <c r="AJ62" s="381"/>
      <c r="AK62" s="381"/>
      <c r="AL62" s="381"/>
      <c r="AM62" s="381"/>
      <c r="AN62" s="381"/>
      <c r="AO62" s="381"/>
      <c r="AP62" s="381"/>
      <c r="AQ62" s="381"/>
      <c r="AR62" s="381"/>
      <c r="AS62" s="381"/>
      <c r="AT62" s="381"/>
      <c r="AU62" s="381"/>
    </row>
    <row r="63" spans="1:47" s="382" customFormat="1" ht="18" customHeight="1" x14ac:dyDescent="0.45">
      <c r="A63" s="408"/>
      <c r="B63" s="858"/>
      <c r="C63" s="383" t="s">
        <v>253</v>
      </c>
      <c r="D63" s="384" t="s">
        <v>801</v>
      </c>
      <c r="E63" s="858"/>
      <c r="F63" s="690">
        <v>0</v>
      </c>
      <c r="G63" s="385">
        <v>5</v>
      </c>
      <c r="H63" s="861"/>
      <c r="I63" s="416"/>
      <c r="J63" s="417"/>
      <c r="K63" s="392">
        <f>ROUND(F63/G63,3)</f>
        <v>0</v>
      </c>
      <c r="L63" s="389"/>
      <c r="M63" s="877"/>
      <c r="N63" s="880"/>
      <c r="O63" s="883"/>
      <c r="P63" s="883"/>
      <c r="Q63" s="872"/>
      <c r="R63" s="378"/>
      <c r="S63" s="808"/>
      <c r="T63" s="809"/>
      <c r="U63" s="809"/>
      <c r="V63" s="809"/>
      <c r="W63" s="809"/>
      <c r="X63" s="809"/>
      <c r="Y63" s="810"/>
      <c r="Z63" s="379"/>
      <c r="AA63" s="415"/>
      <c r="AB63" s="381"/>
      <c r="AC63" s="381"/>
      <c r="AD63" s="381"/>
      <c r="AE63" s="381"/>
      <c r="AF63" s="381"/>
      <c r="AG63" s="381"/>
      <c r="AH63" s="381"/>
      <c r="AI63" s="381"/>
      <c r="AJ63" s="381"/>
      <c r="AK63" s="381"/>
      <c r="AL63" s="381"/>
      <c r="AM63" s="381"/>
      <c r="AN63" s="381"/>
      <c r="AO63" s="381"/>
      <c r="AP63" s="381"/>
      <c r="AQ63" s="381"/>
      <c r="AR63" s="381"/>
      <c r="AS63" s="381"/>
      <c r="AT63" s="381"/>
      <c r="AU63" s="381"/>
    </row>
    <row r="64" spans="1:47" s="382" customFormat="1" ht="18" customHeight="1" x14ac:dyDescent="0.45">
      <c r="A64" s="408"/>
      <c r="B64" s="859"/>
      <c r="C64" s="383" t="s">
        <v>240</v>
      </c>
      <c r="D64" s="384" t="s">
        <v>254</v>
      </c>
      <c r="E64" s="859"/>
      <c r="F64" s="690">
        <v>0</v>
      </c>
      <c r="G64" s="385">
        <v>50</v>
      </c>
      <c r="H64" s="862"/>
      <c r="I64" s="418"/>
      <c r="J64" s="419"/>
      <c r="K64" s="395">
        <f>ROUND(F64/G64,3)</f>
        <v>0</v>
      </c>
      <c r="L64" s="389"/>
      <c r="M64" s="877"/>
      <c r="N64" s="880"/>
      <c r="O64" s="883"/>
      <c r="P64" s="883"/>
      <c r="Q64" s="872"/>
      <c r="R64" s="378"/>
      <c r="S64" s="808"/>
      <c r="T64" s="809"/>
      <c r="U64" s="809"/>
      <c r="V64" s="809"/>
      <c r="W64" s="809"/>
      <c r="X64" s="809"/>
      <c r="Y64" s="810"/>
      <c r="Z64" s="379"/>
      <c r="AA64" s="415"/>
      <c r="AB64" s="381"/>
      <c r="AC64" s="381"/>
      <c r="AD64" s="381"/>
      <c r="AE64" s="381"/>
      <c r="AF64" s="381"/>
      <c r="AG64" s="381"/>
      <c r="AH64" s="381"/>
      <c r="AI64" s="381"/>
      <c r="AJ64" s="381"/>
      <c r="AK64" s="381"/>
      <c r="AL64" s="381"/>
      <c r="AM64" s="381"/>
      <c r="AN64" s="381"/>
      <c r="AO64" s="381"/>
      <c r="AP64" s="381"/>
      <c r="AQ64" s="381"/>
      <c r="AR64" s="381"/>
      <c r="AS64" s="381"/>
      <c r="AT64" s="381"/>
      <c r="AU64" s="381"/>
    </row>
    <row r="65" spans="1:47" s="382" customFormat="1" ht="18" customHeight="1" thickBot="1" x14ac:dyDescent="0.5">
      <c r="A65" s="408"/>
      <c r="B65" s="396" t="s">
        <v>255</v>
      </c>
      <c r="C65" s="874" t="s">
        <v>256</v>
      </c>
      <c r="D65" s="875"/>
      <c r="E65" s="397">
        <f>IF(SUM(F66*0.6+F67*0.4+0.2*F68)&lt;AA65,0,IF(SUM(F66*0.6+F67*0.4+0.2*F68)&gt;100,100,SUM(F66*0.6+F67*0.4+0.2*F68)))</f>
        <v>0</v>
      </c>
      <c r="F65" s="648"/>
      <c r="G65" s="399">
        <v>100</v>
      </c>
      <c r="H65" s="400">
        <v>5</v>
      </c>
      <c r="I65" s="406">
        <f>ROUND(E65*H65,0)</f>
        <v>0</v>
      </c>
      <c r="J65" s="402">
        <f>G65*H65</f>
        <v>500</v>
      </c>
      <c r="K65" s="420">
        <f t="shared" si="4"/>
        <v>0</v>
      </c>
      <c r="L65" s="377">
        <f>J65/N$54*P$54</f>
        <v>5.6250000000000001E-2</v>
      </c>
      <c r="M65" s="877"/>
      <c r="N65" s="880"/>
      <c r="O65" s="883"/>
      <c r="P65" s="883"/>
      <c r="Q65" s="872"/>
      <c r="R65" s="378"/>
      <c r="S65" s="808"/>
      <c r="T65" s="809"/>
      <c r="U65" s="809"/>
      <c r="V65" s="809"/>
      <c r="W65" s="809"/>
      <c r="X65" s="809"/>
      <c r="Y65" s="810"/>
      <c r="Z65" s="379"/>
      <c r="AA65" s="411">
        <v>10</v>
      </c>
      <c r="AB65" s="381"/>
      <c r="AC65" s="381"/>
      <c r="AD65" s="381"/>
      <c r="AE65" s="381"/>
      <c r="AF65" s="381"/>
      <c r="AG65" s="381"/>
      <c r="AH65" s="381"/>
      <c r="AI65" s="381"/>
      <c r="AJ65" s="381"/>
      <c r="AK65" s="381"/>
      <c r="AL65" s="381"/>
      <c r="AM65" s="381"/>
      <c r="AN65" s="381"/>
      <c r="AO65" s="381"/>
      <c r="AP65" s="381"/>
      <c r="AQ65" s="381"/>
      <c r="AR65" s="381"/>
      <c r="AS65" s="381"/>
      <c r="AT65" s="381"/>
      <c r="AU65" s="381"/>
    </row>
    <row r="66" spans="1:47" s="382" customFormat="1" ht="26.1" customHeight="1" x14ac:dyDescent="0.45">
      <c r="A66" s="408"/>
      <c r="B66" s="857"/>
      <c r="C66" s="383" t="s">
        <v>238</v>
      </c>
      <c r="D66" s="384" t="s">
        <v>257</v>
      </c>
      <c r="E66" s="857"/>
      <c r="F66" s="690">
        <v>0</v>
      </c>
      <c r="G66" s="385">
        <v>100</v>
      </c>
      <c r="H66" s="860"/>
      <c r="I66" s="386"/>
      <c r="J66" s="387"/>
      <c r="K66" s="392">
        <f>ROUND(F66/G66,3)</f>
        <v>0</v>
      </c>
      <c r="L66" s="389"/>
      <c r="M66" s="877"/>
      <c r="N66" s="880"/>
      <c r="O66" s="883"/>
      <c r="P66" s="883"/>
      <c r="Q66" s="872"/>
      <c r="R66" s="378"/>
      <c r="S66" s="808"/>
      <c r="T66" s="809"/>
      <c r="U66" s="809"/>
      <c r="V66" s="809"/>
      <c r="W66" s="809"/>
      <c r="X66" s="809"/>
      <c r="Y66" s="810"/>
      <c r="Z66" s="379"/>
      <c r="AA66" s="381"/>
      <c r="AB66" s="381"/>
      <c r="AC66" s="381"/>
      <c r="AD66" s="381"/>
      <c r="AE66" s="381"/>
      <c r="AF66" s="381"/>
      <c r="AG66" s="381"/>
      <c r="AH66" s="381"/>
      <c r="AI66" s="381"/>
      <c r="AJ66" s="381"/>
      <c r="AK66" s="381"/>
      <c r="AL66" s="381"/>
      <c r="AM66" s="381"/>
      <c r="AN66" s="381"/>
      <c r="AO66" s="381"/>
      <c r="AP66" s="381"/>
      <c r="AQ66" s="381"/>
      <c r="AR66" s="381"/>
      <c r="AS66" s="381"/>
      <c r="AT66" s="381"/>
      <c r="AU66" s="381"/>
    </row>
    <row r="67" spans="1:47" s="382" customFormat="1" ht="18" customHeight="1" x14ac:dyDescent="0.45">
      <c r="A67" s="408"/>
      <c r="B67" s="858"/>
      <c r="C67" s="383" t="s">
        <v>240</v>
      </c>
      <c r="D67" s="384" t="s">
        <v>258</v>
      </c>
      <c r="E67" s="858"/>
      <c r="F67" s="690">
        <v>0</v>
      </c>
      <c r="G67" s="385">
        <v>100</v>
      </c>
      <c r="H67" s="861"/>
      <c r="I67" s="390"/>
      <c r="J67" s="391"/>
      <c r="K67" s="392">
        <f>ROUND(F67/G67,3)</f>
        <v>0</v>
      </c>
      <c r="L67" s="389"/>
      <c r="M67" s="877"/>
      <c r="N67" s="880"/>
      <c r="O67" s="883"/>
      <c r="P67" s="883"/>
      <c r="Q67" s="872"/>
      <c r="R67" s="378"/>
      <c r="S67" s="808"/>
      <c r="T67" s="809"/>
      <c r="U67" s="809"/>
      <c r="V67" s="809"/>
      <c r="W67" s="809"/>
      <c r="X67" s="809"/>
      <c r="Y67" s="810"/>
      <c r="Z67" s="379"/>
      <c r="AA67" s="381"/>
      <c r="AB67" s="381"/>
      <c r="AC67" s="381"/>
      <c r="AD67" s="381"/>
      <c r="AE67" s="381"/>
      <c r="AF67" s="381"/>
      <c r="AG67" s="381"/>
      <c r="AH67" s="381"/>
      <c r="AI67" s="381"/>
      <c r="AJ67" s="381"/>
      <c r="AK67" s="381"/>
      <c r="AL67" s="381"/>
      <c r="AM67" s="381"/>
      <c r="AN67" s="381"/>
      <c r="AO67" s="381"/>
      <c r="AP67" s="381"/>
      <c r="AQ67" s="381"/>
      <c r="AR67" s="381"/>
      <c r="AS67" s="381"/>
      <c r="AT67" s="381"/>
      <c r="AU67" s="381"/>
    </row>
    <row r="68" spans="1:47" s="382" customFormat="1" ht="18" customHeight="1" x14ac:dyDescent="0.45">
      <c r="A68" s="408"/>
      <c r="B68" s="859"/>
      <c r="C68" s="383" t="s">
        <v>242</v>
      </c>
      <c r="D68" s="384" t="s">
        <v>259</v>
      </c>
      <c r="E68" s="859"/>
      <c r="F68" s="690">
        <v>0</v>
      </c>
      <c r="G68" s="385">
        <v>50</v>
      </c>
      <c r="H68" s="862"/>
      <c r="I68" s="393"/>
      <c r="J68" s="394"/>
      <c r="K68" s="392">
        <f>ROUND(F68/G68,3)</f>
        <v>0</v>
      </c>
      <c r="L68" s="389"/>
      <c r="M68" s="877"/>
      <c r="N68" s="880"/>
      <c r="O68" s="883"/>
      <c r="P68" s="883"/>
      <c r="Q68" s="872"/>
      <c r="R68" s="378"/>
      <c r="S68" s="808"/>
      <c r="T68" s="809"/>
      <c r="U68" s="809"/>
      <c r="V68" s="809"/>
      <c r="W68" s="809"/>
      <c r="X68" s="809"/>
      <c r="Y68" s="810"/>
      <c r="Z68" s="379"/>
      <c r="AA68" s="381"/>
      <c r="AB68" s="381"/>
      <c r="AC68" s="381"/>
      <c r="AD68" s="381"/>
      <c r="AE68" s="381"/>
      <c r="AF68" s="381"/>
      <c r="AG68" s="381"/>
      <c r="AH68" s="381"/>
      <c r="AI68" s="381"/>
      <c r="AJ68" s="381"/>
      <c r="AK68" s="381"/>
      <c r="AL68" s="381"/>
      <c r="AM68" s="381"/>
      <c r="AN68" s="381"/>
      <c r="AO68" s="381"/>
      <c r="AP68" s="381"/>
      <c r="AQ68" s="381"/>
      <c r="AR68" s="381"/>
      <c r="AS68" s="381"/>
      <c r="AT68" s="381"/>
      <c r="AU68" s="381"/>
    </row>
    <row r="69" spans="1:47" s="382" customFormat="1" ht="18" customHeight="1" thickBot="1" x14ac:dyDescent="0.5">
      <c r="A69" s="408"/>
      <c r="B69" s="421" t="s">
        <v>260</v>
      </c>
      <c r="C69" s="885" t="s">
        <v>261</v>
      </c>
      <c r="D69" s="886"/>
      <c r="E69" s="694">
        <v>0</v>
      </c>
      <c r="F69" s="857"/>
      <c r="G69" s="399">
        <v>100</v>
      </c>
      <c r="H69" s="399">
        <v>2</v>
      </c>
      <c r="I69" s="406">
        <f>ROUND(E69*H69,0)</f>
        <v>0</v>
      </c>
      <c r="J69" s="402">
        <f>G69*H69</f>
        <v>200</v>
      </c>
      <c r="K69" s="404">
        <f t="shared" ref="K69:K79" si="5">ROUND(I69/J69,3)</f>
        <v>0</v>
      </c>
      <c r="L69" s="377">
        <f>J69/N$54*P$54</f>
        <v>2.2500000000000003E-2</v>
      </c>
      <c r="M69" s="877"/>
      <c r="N69" s="880"/>
      <c r="O69" s="883"/>
      <c r="P69" s="883"/>
      <c r="Q69" s="872"/>
      <c r="R69" s="378"/>
      <c r="S69" s="808"/>
      <c r="T69" s="809"/>
      <c r="U69" s="809"/>
      <c r="V69" s="809"/>
      <c r="W69" s="809"/>
      <c r="X69" s="809"/>
      <c r="Y69" s="810"/>
      <c r="Z69" s="379"/>
      <c r="AA69" s="411">
        <v>10</v>
      </c>
      <c r="AB69" s="381"/>
      <c r="AC69" s="381"/>
      <c r="AD69" s="381"/>
      <c r="AE69" s="381"/>
      <c r="AF69" s="381"/>
      <c r="AG69" s="381"/>
      <c r="AH69" s="381"/>
      <c r="AI69" s="381"/>
      <c r="AJ69" s="381"/>
      <c r="AK69" s="381"/>
      <c r="AL69" s="381"/>
      <c r="AM69" s="381"/>
      <c r="AN69" s="381"/>
      <c r="AO69" s="381"/>
      <c r="AP69" s="381"/>
      <c r="AQ69" s="381"/>
      <c r="AR69" s="381"/>
      <c r="AS69" s="381"/>
      <c r="AT69" s="381"/>
      <c r="AU69" s="381"/>
    </row>
    <row r="70" spans="1:47" s="382" customFormat="1" ht="18" customHeight="1" thickBot="1" x14ac:dyDescent="0.5">
      <c r="A70" s="408"/>
      <c r="B70" s="421" t="s">
        <v>262</v>
      </c>
      <c r="C70" s="885" t="s">
        <v>263</v>
      </c>
      <c r="D70" s="886"/>
      <c r="E70" s="397">
        <f>IF(SUM(F71:F77)&lt;AA70,0,IF(SUM(F71:F77)&gt;100,100,SUM(F71:F77)))</f>
        <v>0</v>
      </c>
      <c r="F70" s="859"/>
      <c r="G70" s="399">
        <v>100</v>
      </c>
      <c r="H70" s="399">
        <v>2</v>
      </c>
      <c r="I70" s="406">
        <f>ROUND(E70*H70,0)</f>
        <v>0</v>
      </c>
      <c r="J70" s="402">
        <f>G70*H70</f>
        <v>200</v>
      </c>
      <c r="K70" s="404">
        <f t="shared" si="5"/>
        <v>0</v>
      </c>
      <c r="L70" s="377">
        <f>J70/N$54*P$54</f>
        <v>2.2500000000000003E-2</v>
      </c>
      <c r="M70" s="877"/>
      <c r="N70" s="880"/>
      <c r="O70" s="883"/>
      <c r="P70" s="883"/>
      <c r="Q70" s="872"/>
      <c r="R70" s="378"/>
      <c r="S70" s="808"/>
      <c r="T70" s="809"/>
      <c r="U70" s="809"/>
      <c r="V70" s="809"/>
      <c r="W70" s="809"/>
      <c r="X70" s="809"/>
      <c r="Y70" s="810"/>
      <c r="Z70" s="379"/>
      <c r="AA70" s="411">
        <v>10</v>
      </c>
      <c r="AB70" s="381"/>
      <c r="AC70" s="381"/>
      <c r="AD70" s="381"/>
      <c r="AE70" s="381"/>
      <c r="AF70" s="381"/>
      <c r="AG70" s="381"/>
      <c r="AH70" s="381"/>
      <c r="AI70" s="381"/>
      <c r="AJ70" s="381"/>
      <c r="AK70" s="381"/>
      <c r="AL70" s="381"/>
      <c r="AM70" s="381"/>
      <c r="AN70" s="381"/>
      <c r="AO70" s="381"/>
      <c r="AP70" s="381"/>
      <c r="AQ70" s="381"/>
      <c r="AR70" s="381"/>
      <c r="AS70" s="381"/>
      <c r="AT70" s="381"/>
      <c r="AU70" s="381"/>
    </row>
    <row r="71" spans="1:47" s="382" customFormat="1" ht="25.5" x14ac:dyDescent="0.45">
      <c r="A71" s="408"/>
      <c r="B71" s="857"/>
      <c r="C71" s="422" t="s">
        <v>253</v>
      </c>
      <c r="D71" s="423" t="s">
        <v>264</v>
      </c>
      <c r="E71" s="888"/>
      <c r="F71" s="695">
        <v>0</v>
      </c>
      <c r="G71" s="385">
        <v>20</v>
      </c>
      <c r="H71" s="861"/>
      <c r="I71" s="390"/>
      <c r="J71" s="391"/>
      <c r="K71" s="392">
        <f>ROUND(F71/G71,3)</f>
        <v>0</v>
      </c>
      <c r="L71" s="392"/>
      <c r="M71" s="878"/>
      <c r="N71" s="881"/>
      <c r="O71" s="884"/>
      <c r="P71" s="884"/>
      <c r="Q71" s="872"/>
      <c r="R71" s="378"/>
      <c r="S71" s="808"/>
      <c r="T71" s="809"/>
      <c r="U71" s="809"/>
      <c r="V71" s="809"/>
      <c r="W71" s="809"/>
      <c r="X71" s="809"/>
      <c r="Y71" s="810"/>
      <c r="Z71" s="379"/>
      <c r="AA71" s="424"/>
      <c r="AB71" s="381"/>
      <c r="AC71" s="381"/>
      <c r="AD71" s="381"/>
      <c r="AE71" s="381"/>
      <c r="AF71" s="381"/>
      <c r="AG71" s="381"/>
      <c r="AH71" s="381"/>
      <c r="AI71" s="381"/>
      <c r="AJ71" s="381"/>
      <c r="AK71" s="381"/>
      <c r="AL71" s="381"/>
      <c r="AM71" s="381"/>
      <c r="AN71" s="381"/>
      <c r="AO71" s="381"/>
      <c r="AP71" s="381"/>
      <c r="AQ71" s="381"/>
      <c r="AR71" s="381"/>
      <c r="AS71" s="381"/>
      <c r="AT71" s="381"/>
      <c r="AU71" s="381"/>
    </row>
    <row r="72" spans="1:47" s="382" customFormat="1" ht="18" customHeight="1" x14ac:dyDescent="0.45">
      <c r="A72" s="408"/>
      <c r="B72" s="858"/>
      <c r="C72" s="425" t="s">
        <v>265</v>
      </c>
      <c r="D72" s="384" t="s">
        <v>509</v>
      </c>
      <c r="E72" s="888"/>
      <c r="F72" s="690">
        <v>0</v>
      </c>
      <c r="G72" s="385">
        <v>20</v>
      </c>
      <c r="H72" s="861"/>
      <c r="I72" s="390"/>
      <c r="J72" s="391"/>
      <c r="K72" s="392">
        <f>ROUND(F72/G72,3)</f>
        <v>0</v>
      </c>
      <c r="L72" s="392"/>
      <c r="M72" s="878"/>
      <c r="N72" s="881"/>
      <c r="O72" s="884"/>
      <c r="P72" s="884"/>
      <c r="Q72" s="872"/>
      <c r="R72" s="378"/>
      <c r="S72" s="808"/>
      <c r="T72" s="809"/>
      <c r="U72" s="809"/>
      <c r="V72" s="809"/>
      <c r="W72" s="809"/>
      <c r="X72" s="809"/>
      <c r="Y72" s="810"/>
      <c r="Z72" s="379"/>
      <c r="AA72" s="424"/>
      <c r="AB72" s="381"/>
      <c r="AC72" s="381"/>
      <c r="AD72" s="381"/>
      <c r="AE72" s="381"/>
      <c r="AF72" s="381"/>
      <c r="AG72" s="381"/>
      <c r="AH72" s="381"/>
      <c r="AI72" s="381"/>
      <c r="AJ72" s="381"/>
      <c r="AK72" s="381"/>
      <c r="AL72" s="381"/>
      <c r="AM72" s="381"/>
      <c r="AN72" s="381"/>
      <c r="AO72" s="381"/>
      <c r="AP72" s="381"/>
      <c r="AQ72" s="381"/>
      <c r="AR72" s="381"/>
      <c r="AS72" s="381"/>
      <c r="AT72" s="381"/>
      <c r="AU72" s="381"/>
    </row>
    <row r="73" spans="1:47" s="382" customFormat="1" ht="18" customHeight="1" x14ac:dyDescent="0.45">
      <c r="A73" s="408"/>
      <c r="B73" s="858"/>
      <c r="C73" s="425" t="s">
        <v>283</v>
      </c>
      <c r="D73" s="384" t="s">
        <v>802</v>
      </c>
      <c r="E73" s="889"/>
      <c r="F73" s="690">
        <v>0</v>
      </c>
      <c r="G73" s="385">
        <v>10</v>
      </c>
      <c r="H73" s="861"/>
      <c r="I73" s="390"/>
      <c r="J73" s="391"/>
      <c r="K73" s="392">
        <f>ROUND(F73/G73,3)</f>
        <v>0</v>
      </c>
      <c r="L73" s="392"/>
      <c r="M73" s="878"/>
      <c r="N73" s="881"/>
      <c r="O73" s="884"/>
      <c r="P73" s="884"/>
      <c r="Q73" s="872"/>
      <c r="R73" s="378"/>
      <c r="S73" s="808"/>
      <c r="T73" s="809"/>
      <c r="U73" s="809"/>
      <c r="V73" s="809"/>
      <c r="W73" s="809"/>
      <c r="X73" s="809"/>
      <c r="Y73" s="810"/>
      <c r="Z73" s="379"/>
      <c r="AA73" s="424"/>
      <c r="AB73" s="381"/>
      <c r="AC73" s="381"/>
      <c r="AD73" s="381"/>
      <c r="AE73" s="381"/>
      <c r="AF73" s="381"/>
      <c r="AG73" s="381"/>
      <c r="AH73" s="381"/>
      <c r="AI73" s="381"/>
      <c r="AJ73" s="381"/>
      <c r="AK73" s="381"/>
      <c r="AL73" s="381"/>
      <c r="AM73" s="381"/>
      <c r="AN73" s="381"/>
      <c r="AO73" s="381"/>
      <c r="AP73" s="381"/>
      <c r="AQ73" s="381"/>
      <c r="AR73" s="381"/>
      <c r="AS73" s="381"/>
      <c r="AT73" s="381"/>
      <c r="AU73" s="381"/>
    </row>
    <row r="74" spans="1:47" s="382" customFormat="1" ht="18" customHeight="1" x14ac:dyDescent="0.45">
      <c r="A74" s="408"/>
      <c r="B74" s="858"/>
      <c r="C74" s="425" t="s">
        <v>268</v>
      </c>
      <c r="D74" s="384" t="s">
        <v>267</v>
      </c>
      <c r="E74" s="889"/>
      <c r="F74" s="690">
        <v>0</v>
      </c>
      <c r="G74" s="385">
        <v>5</v>
      </c>
      <c r="H74" s="861"/>
      <c r="I74" s="390"/>
      <c r="J74" s="391"/>
      <c r="K74" s="392"/>
      <c r="L74" s="392"/>
      <c r="M74" s="878"/>
      <c r="N74" s="881"/>
      <c r="O74" s="884"/>
      <c r="P74" s="884"/>
      <c r="Q74" s="872"/>
      <c r="R74" s="378"/>
      <c r="S74" s="691"/>
      <c r="T74" s="692"/>
      <c r="U74" s="692"/>
      <c r="V74" s="692"/>
      <c r="W74" s="692"/>
      <c r="X74" s="692"/>
      <c r="Y74" s="693"/>
      <c r="Z74" s="379"/>
      <c r="AA74" s="424"/>
      <c r="AB74" s="381"/>
      <c r="AC74" s="381"/>
      <c r="AD74" s="381"/>
      <c r="AE74" s="381"/>
      <c r="AF74" s="381"/>
      <c r="AG74" s="381"/>
      <c r="AH74" s="381"/>
      <c r="AI74" s="381"/>
      <c r="AJ74" s="381"/>
      <c r="AK74" s="381"/>
      <c r="AL74" s="381"/>
      <c r="AM74" s="381"/>
      <c r="AN74" s="381"/>
      <c r="AO74" s="381"/>
      <c r="AP74" s="381"/>
      <c r="AQ74" s="381"/>
      <c r="AR74" s="381"/>
      <c r="AS74" s="381"/>
      <c r="AT74" s="381"/>
      <c r="AU74" s="381"/>
    </row>
    <row r="75" spans="1:47" s="382" customFormat="1" ht="18" customHeight="1" x14ac:dyDescent="0.45">
      <c r="A75" s="408"/>
      <c r="B75" s="858"/>
      <c r="C75" s="425" t="s">
        <v>285</v>
      </c>
      <c r="D75" s="384" t="s">
        <v>803</v>
      </c>
      <c r="E75" s="889"/>
      <c r="F75" s="690">
        <v>0</v>
      </c>
      <c r="G75" s="385">
        <v>15</v>
      </c>
      <c r="H75" s="891"/>
      <c r="I75" s="390"/>
      <c r="J75" s="391"/>
      <c r="K75" s="392">
        <f>ROUND(F75/G75,3)</f>
        <v>0</v>
      </c>
      <c r="L75" s="392"/>
      <c r="M75" s="878"/>
      <c r="N75" s="881"/>
      <c r="O75" s="884"/>
      <c r="P75" s="884"/>
      <c r="Q75" s="872"/>
      <c r="R75" s="378"/>
      <c r="S75" s="808"/>
      <c r="T75" s="809"/>
      <c r="U75" s="809"/>
      <c r="V75" s="809"/>
      <c r="W75" s="809"/>
      <c r="X75" s="809"/>
      <c r="Y75" s="810"/>
      <c r="Z75" s="379"/>
      <c r="AA75" s="424"/>
      <c r="AB75" s="381"/>
      <c r="AC75" s="381"/>
      <c r="AD75" s="381"/>
      <c r="AE75" s="381"/>
      <c r="AF75" s="381"/>
      <c r="AG75" s="381"/>
      <c r="AH75" s="381"/>
      <c r="AI75" s="381"/>
      <c r="AJ75" s="381"/>
      <c r="AK75" s="381"/>
      <c r="AL75" s="381"/>
      <c r="AM75" s="381"/>
      <c r="AN75" s="381"/>
      <c r="AO75" s="381"/>
      <c r="AP75" s="381"/>
      <c r="AQ75" s="381"/>
      <c r="AR75" s="381"/>
      <c r="AS75" s="381"/>
      <c r="AT75" s="381"/>
      <c r="AU75" s="381"/>
    </row>
    <row r="76" spans="1:47" s="382" customFormat="1" ht="18" customHeight="1" x14ac:dyDescent="0.45">
      <c r="A76" s="408"/>
      <c r="B76" s="858"/>
      <c r="C76" s="426" t="s">
        <v>321</v>
      </c>
      <c r="D76" s="427" t="s">
        <v>804</v>
      </c>
      <c r="E76" s="889"/>
      <c r="F76" s="696">
        <v>0</v>
      </c>
      <c r="G76" s="428">
        <v>10</v>
      </c>
      <c r="H76" s="891"/>
      <c r="I76" s="390"/>
      <c r="J76" s="391"/>
      <c r="K76" s="392">
        <f>ROUND(F76/G76,3)</f>
        <v>0</v>
      </c>
      <c r="L76" s="392"/>
      <c r="M76" s="878"/>
      <c r="N76" s="881"/>
      <c r="O76" s="884"/>
      <c r="P76" s="884"/>
      <c r="Q76" s="872"/>
      <c r="R76" s="378"/>
      <c r="S76" s="691"/>
      <c r="T76" s="692"/>
      <c r="U76" s="692"/>
      <c r="V76" s="692"/>
      <c r="W76" s="692"/>
      <c r="X76" s="692"/>
      <c r="Y76" s="693"/>
      <c r="Z76" s="379"/>
      <c r="AA76" s="424"/>
      <c r="AB76" s="381"/>
      <c r="AC76" s="381"/>
      <c r="AD76" s="381"/>
      <c r="AE76" s="381"/>
      <c r="AF76" s="381"/>
      <c r="AG76" s="381"/>
      <c r="AH76" s="381"/>
      <c r="AI76" s="381"/>
      <c r="AJ76" s="381"/>
      <c r="AK76" s="381"/>
      <c r="AL76" s="381"/>
      <c r="AM76" s="381"/>
      <c r="AN76" s="381"/>
      <c r="AO76" s="381"/>
      <c r="AP76" s="381"/>
      <c r="AQ76" s="381"/>
      <c r="AR76" s="381"/>
      <c r="AS76" s="381"/>
      <c r="AT76" s="381"/>
      <c r="AU76" s="381"/>
    </row>
    <row r="77" spans="1:47" s="382" customFormat="1" ht="18" customHeight="1" thickBot="1" x14ac:dyDescent="0.5">
      <c r="A77" s="408"/>
      <c r="B77" s="887"/>
      <c r="C77" s="429" t="s">
        <v>242</v>
      </c>
      <c r="D77" s="430" t="s">
        <v>805</v>
      </c>
      <c r="E77" s="890"/>
      <c r="F77" s="697">
        <v>0</v>
      </c>
      <c r="G77" s="431">
        <v>30</v>
      </c>
      <c r="H77" s="892"/>
      <c r="I77" s="432"/>
      <c r="J77" s="433"/>
      <c r="K77" s="434">
        <f>ROUND(F77/G77,3)</f>
        <v>0</v>
      </c>
      <c r="L77" s="434"/>
      <c r="M77" s="878"/>
      <c r="N77" s="881"/>
      <c r="O77" s="884"/>
      <c r="P77" s="884"/>
      <c r="Q77" s="872"/>
      <c r="R77" s="378"/>
      <c r="S77" s="691"/>
      <c r="T77" s="692"/>
      <c r="U77" s="692"/>
      <c r="V77" s="692"/>
      <c r="W77" s="692"/>
      <c r="X77" s="692"/>
      <c r="Y77" s="693"/>
      <c r="Z77" s="379"/>
      <c r="AA77" s="424"/>
      <c r="AB77" s="381"/>
      <c r="AC77" s="381"/>
      <c r="AD77" s="381"/>
      <c r="AE77" s="381"/>
      <c r="AF77" s="381"/>
      <c r="AG77" s="381"/>
      <c r="AH77" s="381"/>
      <c r="AI77" s="381"/>
      <c r="AJ77" s="381"/>
      <c r="AK77" s="381"/>
      <c r="AL77" s="381"/>
      <c r="AM77" s="381"/>
      <c r="AN77" s="381"/>
      <c r="AO77" s="381"/>
      <c r="AP77" s="381"/>
      <c r="AQ77" s="381"/>
      <c r="AR77" s="381"/>
      <c r="AS77" s="381"/>
      <c r="AT77" s="381"/>
      <c r="AU77" s="381"/>
    </row>
    <row r="78" spans="1:47" s="382" customFormat="1" ht="18" customHeight="1" thickBot="1" x14ac:dyDescent="0.5">
      <c r="A78" s="435"/>
      <c r="B78" s="405" t="s">
        <v>269</v>
      </c>
      <c r="C78" s="874" t="s">
        <v>270</v>
      </c>
      <c r="D78" s="875"/>
      <c r="E78" s="397">
        <v>0</v>
      </c>
      <c r="F78" s="858"/>
      <c r="G78" s="400">
        <v>100</v>
      </c>
      <c r="H78" s="400">
        <v>3</v>
      </c>
      <c r="I78" s="406">
        <f>ROUND(E78*H78,0)</f>
        <v>0</v>
      </c>
      <c r="J78" s="402">
        <f>G78*H78</f>
        <v>300</v>
      </c>
      <c r="K78" s="403">
        <f t="shared" si="5"/>
        <v>0</v>
      </c>
      <c r="L78" s="377">
        <f>J78/N$78*P$78</f>
        <v>9.7826086956521743E-2</v>
      </c>
      <c r="M78" s="876">
        <f>SUM(I78:I95)</f>
        <v>0</v>
      </c>
      <c r="N78" s="879">
        <f>SUM(J78:J95)</f>
        <v>690</v>
      </c>
      <c r="O78" s="882">
        <f>M78/N78</f>
        <v>0</v>
      </c>
      <c r="P78" s="882">
        <v>0.22500000000000001</v>
      </c>
      <c r="Q78" s="872"/>
      <c r="R78" s="378"/>
      <c r="S78" s="808"/>
      <c r="T78" s="809"/>
      <c r="U78" s="809"/>
      <c r="V78" s="809"/>
      <c r="W78" s="809"/>
      <c r="X78" s="809"/>
      <c r="Y78" s="810"/>
      <c r="Z78" s="379"/>
      <c r="AA78" s="436">
        <v>10</v>
      </c>
      <c r="AB78" s="381"/>
      <c r="AC78" s="381"/>
      <c r="AD78" s="381"/>
      <c r="AE78" s="381"/>
      <c r="AF78" s="381"/>
      <c r="AG78" s="381"/>
      <c r="AH78" s="381"/>
      <c r="AI78" s="381"/>
      <c r="AJ78" s="381"/>
      <c r="AK78" s="381"/>
      <c r="AL78" s="381"/>
      <c r="AM78" s="381"/>
      <c r="AN78" s="381"/>
      <c r="AO78" s="381"/>
      <c r="AP78" s="381"/>
      <c r="AQ78" s="381"/>
      <c r="AR78" s="381"/>
      <c r="AS78" s="381"/>
      <c r="AT78" s="381"/>
      <c r="AU78" s="381"/>
    </row>
    <row r="79" spans="1:47" s="382" customFormat="1" ht="18" customHeight="1" thickBot="1" x14ac:dyDescent="0.5">
      <c r="A79" s="408"/>
      <c r="B79" s="396" t="s">
        <v>271</v>
      </c>
      <c r="C79" s="874" t="s">
        <v>272</v>
      </c>
      <c r="D79" s="875"/>
      <c r="E79" s="397">
        <f>IF(SUM(F80:F87)&lt;AA79,0,IF(SUM(F80:F87)&gt;100,100,SUM(F80:F87)))</f>
        <v>0</v>
      </c>
      <c r="F79" s="859"/>
      <c r="G79" s="399">
        <f>SUM(G80:G87)</f>
        <v>95</v>
      </c>
      <c r="H79" s="400">
        <v>2</v>
      </c>
      <c r="I79" s="406">
        <f>ROUND(E79*H79,0)</f>
        <v>0</v>
      </c>
      <c r="J79" s="402">
        <f>G79*H79</f>
        <v>190</v>
      </c>
      <c r="K79" s="403">
        <f t="shared" si="5"/>
        <v>0</v>
      </c>
      <c r="L79" s="377">
        <f>J79/N$78*P$78</f>
        <v>6.1956521739130438E-2</v>
      </c>
      <c r="M79" s="877"/>
      <c r="N79" s="880"/>
      <c r="O79" s="883"/>
      <c r="P79" s="883"/>
      <c r="Q79" s="872"/>
      <c r="R79" s="378"/>
      <c r="S79" s="808"/>
      <c r="T79" s="809"/>
      <c r="U79" s="809"/>
      <c r="V79" s="809"/>
      <c r="W79" s="809"/>
      <c r="X79" s="809"/>
      <c r="Y79" s="810"/>
      <c r="Z79" s="379"/>
      <c r="AA79" s="380">
        <v>20</v>
      </c>
      <c r="AB79" s="381"/>
      <c r="AC79" s="381"/>
      <c r="AD79" s="381"/>
      <c r="AE79" s="381"/>
      <c r="AF79" s="381"/>
      <c r="AG79" s="381"/>
      <c r="AH79" s="381"/>
      <c r="AI79" s="381"/>
      <c r="AJ79" s="381"/>
      <c r="AK79" s="381"/>
      <c r="AL79" s="381"/>
      <c r="AM79" s="381"/>
      <c r="AN79" s="381"/>
      <c r="AO79" s="381"/>
      <c r="AP79" s="381"/>
      <c r="AQ79" s="381"/>
      <c r="AR79" s="381"/>
      <c r="AS79" s="381"/>
      <c r="AT79" s="381"/>
      <c r="AU79" s="381"/>
    </row>
    <row r="80" spans="1:47" s="382" customFormat="1" ht="18" customHeight="1" x14ac:dyDescent="0.45">
      <c r="A80" s="408"/>
      <c r="B80" s="857"/>
      <c r="C80" s="437" t="s">
        <v>238</v>
      </c>
      <c r="D80" s="384" t="s">
        <v>273</v>
      </c>
      <c r="E80" s="893"/>
      <c r="F80" s="690">
        <v>0</v>
      </c>
      <c r="G80" s="385">
        <v>20</v>
      </c>
      <c r="H80" s="896"/>
      <c r="I80" s="386"/>
      <c r="J80" s="387"/>
      <c r="K80" s="388">
        <f>ROUND(F80/G80,3)</f>
        <v>0</v>
      </c>
      <c r="L80" s="389"/>
      <c r="M80" s="877"/>
      <c r="N80" s="880"/>
      <c r="O80" s="883"/>
      <c r="P80" s="883"/>
      <c r="Q80" s="872"/>
      <c r="R80" s="378"/>
      <c r="S80" s="808"/>
      <c r="T80" s="809"/>
      <c r="U80" s="809"/>
      <c r="V80" s="809"/>
      <c r="W80" s="809"/>
      <c r="X80" s="809"/>
      <c r="Y80" s="810"/>
      <c r="Z80" s="379"/>
      <c r="AA80" s="381"/>
      <c r="AB80" s="381"/>
      <c r="AC80" s="381"/>
      <c r="AD80" s="381"/>
      <c r="AE80" s="381"/>
      <c r="AF80" s="381"/>
      <c r="AG80" s="381"/>
      <c r="AH80" s="381"/>
      <c r="AI80" s="381"/>
      <c r="AJ80" s="381"/>
      <c r="AK80" s="381"/>
      <c r="AL80" s="381"/>
      <c r="AM80" s="381"/>
      <c r="AN80" s="381"/>
      <c r="AO80" s="381"/>
      <c r="AP80" s="381"/>
      <c r="AQ80" s="381"/>
      <c r="AR80" s="381"/>
      <c r="AS80" s="381"/>
      <c r="AT80" s="381"/>
      <c r="AU80" s="381"/>
    </row>
    <row r="81" spans="1:47" s="382" customFormat="1" ht="18" customHeight="1" x14ac:dyDescent="0.45">
      <c r="A81" s="408"/>
      <c r="B81" s="858"/>
      <c r="C81" s="437" t="s">
        <v>240</v>
      </c>
      <c r="D81" s="384" t="s">
        <v>806</v>
      </c>
      <c r="E81" s="894"/>
      <c r="F81" s="690">
        <v>0</v>
      </c>
      <c r="G81" s="385">
        <v>10</v>
      </c>
      <c r="H81" s="897"/>
      <c r="I81" s="390"/>
      <c r="J81" s="391"/>
      <c r="K81" s="392">
        <f>ROUND(F81/G81,3)</f>
        <v>0</v>
      </c>
      <c r="L81" s="389"/>
      <c r="M81" s="877"/>
      <c r="N81" s="880"/>
      <c r="O81" s="883"/>
      <c r="P81" s="883"/>
      <c r="Q81" s="872"/>
      <c r="R81" s="378"/>
      <c r="S81" s="808"/>
      <c r="T81" s="809"/>
      <c r="U81" s="809"/>
      <c r="V81" s="809"/>
      <c r="W81" s="809"/>
      <c r="X81" s="809"/>
      <c r="Y81" s="810"/>
      <c r="Z81" s="379"/>
      <c r="AA81" s="381"/>
      <c r="AB81" s="381"/>
      <c r="AC81" s="381"/>
      <c r="AD81" s="381"/>
      <c r="AE81" s="381"/>
      <c r="AF81" s="381"/>
      <c r="AG81" s="381"/>
      <c r="AH81" s="381"/>
      <c r="AI81" s="381"/>
      <c r="AJ81" s="381"/>
      <c r="AK81" s="381"/>
      <c r="AL81" s="381"/>
      <c r="AM81" s="381"/>
      <c r="AN81" s="381"/>
      <c r="AO81" s="381"/>
      <c r="AP81" s="381"/>
      <c r="AQ81" s="381"/>
      <c r="AR81" s="381"/>
      <c r="AS81" s="381"/>
      <c r="AT81" s="381"/>
      <c r="AU81" s="381"/>
    </row>
    <row r="82" spans="1:47" s="382" customFormat="1" ht="18" customHeight="1" x14ac:dyDescent="0.45">
      <c r="A82" s="408"/>
      <c r="B82" s="858"/>
      <c r="C82" s="438" t="s">
        <v>242</v>
      </c>
      <c r="D82" s="427" t="s">
        <v>274</v>
      </c>
      <c r="E82" s="894"/>
      <c r="F82" s="690">
        <v>0</v>
      </c>
      <c r="G82" s="385">
        <v>15</v>
      </c>
      <c r="H82" s="897"/>
      <c r="I82" s="390"/>
      <c r="J82" s="391"/>
      <c r="K82" s="392">
        <f>ROUND(F82/G82,3)</f>
        <v>0</v>
      </c>
      <c r="L82" s="389"/>
      <c r="M82" s="877"/>
      <c r="N82" s="880"/>
      <c r="O82" s="883"/>
      <c r="P82" s="883"/>
      <c r="Q82" s="872"/>
      <c r="R82" s="378"/>
      <c r="S82" s="808"/>
      <c r="T82" s="809"/>
      <c r="U82" s="809"/>
      <c r="V82" s="809"/>
      <c r="W82" s="809"/>
      <c r="X82" s="809"/>
      <c r="Y82" s="810"/>
      <c r="Z82" s="379"/>
      <c r="AA82" s="381"/>
      <c r="AB82" s="381"/>
      <c r="AC82" s="381"/>
      <c r="AD82" s="381"/>
      <c r="AE82" s="381"/>
      <c r="AF82" s="381"/>
      <c r="AG82" s="381"/>
      <c r="AH82" s="381"/>
      <c r="AI82" s="381"/>
      <c r="AJ82" s="381"/>
      <c r="AK82" s="381"/>
      <c r="AL82" s="381"/>
      <c r="AM82" s="381"/>
      <c r="AN82" s="381"/>
      <c r="AO82" s="381"/>
      <c r="AP82" s="381"/>
      <c r="AQ82" s="381"/>
      <c r="AR82" s="381"/>
      <c r="AS82" s="381"/>
      <c r="AT82" s="381"/>
      <c r="AU82" s="381"/>
    </row>
    <row r="83" spans="1:47" s="382" customFormat="1" ht="18" customHeight="1" x14ac:dyDescent="0.45">
      <c r="A83" s="408"/>
      <c r="B83" s="858"/>
      <c r="C83" s="438" t="s">
        <v>246</v>
      </c>
      <c r="D83" s="427" t="s">
        <v>807</v>
      </c>
      <c r="E83" s="894"/>
      <c r="F83" s="690">
        <v>0</v>
      </c>
      <c r="G83" s="385">
        <v>10</v>
      </c>
      <c r="H83" s="897"/>
      <c r="I83" s="390"/>
      <c r="J83" s="391"/>
      <c r="K83" s="392">
        <f t="shared" ref="K83:K87" si="6">ROUND(F83/G83,3)</f>
        <v>0</v>
      </c>
      <c r="L83" s="389"/>
      <c r="M83" s="877"/>
      <c r="N83" s="880"/>
      <c r="O83" s="883"/>
      <c r="P83" s="883"/>
      <c r="Q83" s="872"/>
      <c r="R83" s="378"/>
      <c r="S83" s="808"/>
      <c r="T83" s="809"/>
      <c r="U83" s="809"/>
      <c r="V83" s="809"/>
      <c r="W83" s="809"/>
      <c r="X83" s="809"/>
      <c r="Y83" s="810"/>
      <c r="Z83" s="379"/>
      <c r="AA83" s="381"/>
      <c r="AB83" s="381"/>
      <c r="AC83" s="381"/>
      <c r="AD83" s="381"/>
      <c r="AE83" s="381"/>
      <c r="AF83" s="381"/>
      <c r="AG83" s="381"/>
      <c r="AH83" s="381"/>
      <c r="AI83" s="381"/>
      <c r="AJ83" s="381"/>
      <c r="AK83" s="381"/>
      <c r="AL83" s="381"/>
      <c r="AM83" s="381"/>
      <c r="AN83" s="381"/>
      <c r="AO83" s="381"/>
      <c r="AP83" s="381"/>
      <c r="AQ83" s="381"/>
      <c r="AR83" s="381"/>
      <c r="AS83" s="381"/>
      <c r="AT83" s="381"/>
      <c r="AU83" s="381"/>
    </row>
    <row r="84" spans="1:47" s="382" customFormat="1" ht="18" customHeight="1" x14ac:dyDescent="0.45">
      <c r="A84" s="408"/>
      <c r="B84" s="858"/>
      <c r="C84" s="438" t="s">
        <v>275</v>
      </c>
      <c r="D84" s="427" t="s">
        <v>808</v>
      </c>
      <c r="E84" s="894"/>
      <c r="F84" s="690">
        <v>0</v>
      </c>
      <c r="G84" s="385">
        <v>10</v>
      </c>
      <c r="H84" s="897"/>
      <c r="I84" s="390"/>
      <c r="J84" s="391"/>
      <c r="K84" s="392">
        <f t="shared" si="6"/>
        <v>0</v>
      </c>
      <c r="L84" s="389"/>
      <c r="M84" s="877"/>
      <c r="N84" s="880"/>
      <c r="O84" s="883"/>
      <c r="P84" s="883"/>
      <c r="Q84" s="872"/>
      <c r="R84" s="378"/>
      <c r="S84" s="808"/>
      <c r="T84" s="809"/>
      <c r="U84" s="809"/>
      <c r="V84" s="809"/>
      <c r="W84" s="809"/>
      <c r="X84" s="809"/>
      <c r="Y84" s="810"/>
      <c r="Z84" s="379"/>
      <c r="AA84" s="381"/>
      <c r="AB84" s="381"/>
      <c r="AC84" s="381"/>
      <c r="AD84" s="381"/>
      <c r="AE84" s="381"/>
      <c r="AF84" s="381"/>
      <c r="AG84" s="381"/>
      <c r="AH84" s="381"/>
      <c r="AI84" s="381"/>
      <c r="AJ84" s="381"/>
      <c r="AK84" s="381"/>
      <c r="AL84" s="381"/>
      <c r="AM84" s="381"/>
      <c r="AN84" s="381"/>
      <c r="AO84" s="381"/>
      <c r="AP84" s="381"/>
      <c r="AQ84" s="381"/>
      <c r="AR84" s="381"/>
      <c r="AS84" s="381"/>
      <c r="AT84" s="381"/>
      <c r="AU84" s="381"/>
    </row>
    <row r="85" spans="1:47" s="382" customFormat="1" ht="18" customHeight="1" x14ac:dyDescent="0.45">
      <c r="A85" s="408"/>
      <c r="B85" s="858"/>
      <c r="C85" s="438" t="s">
        <v>276</v>
      </c>
      <c r="D85" s="427" t="s">
        <v>809</v>
      </c>
      <c r="E85" s="894"/>
      <c r="F85" s="690">
        <v>0</v>
      </c>
      <c r="G85" s="385">
        <v>10</v>
      </c>
      <c r="H85" s="897"/>
      <c r="I85" s="390"/>
      <c r="J85" s="391"/>
      <c r="K85" s="392">
        <f t="shared" si="6"/>
        <v>0</v>
      </c>
      <c r="L85" s="389"/>
      <c r="M85" s="877"/>
      <c r="N85" s="880"/>
      <c r="O85" s="883"/>
      <c r="P85" s="883"/>
      <c r="Q85" s="872"/>
      <c r="R85" s="378"/>
      <c r="S85" s="808"/>
      <c r="T85" s="809"/>
      <c r="U85" s="809"/>
      <c r="V85" s="809"/>
      <c r="W85" s="809"/>
      <c r="X85" s="809"/>
      <c r="Y85" s="810"/>
      <c r="Z85" s="379"/>
      <c r="AA85" s="381"/>
      <c r="AB85" s="381"/>
      <c r="AC85" s="381"/>
      <c r="AD85" s="381"/>
      <c r="AE85" s="381"/>
      <c r="AF85" s="381"/>
      <c r="AG85" s="381"/>
      <c r="AH85" s="381"/>
      <c r="AI85" s="381"/>
      <c r="AJ85" s="381"/>
      <c r="AK85" s="381"/>
      <c r="AL85" s="381"/>
      <c r="AM85" s="381"/>
      <c r="AN85" s="381"/>
      <c r="AO85" s="381"/>
      <c r="AP85" s="381"/>
      <c r="AQ85" s="381"/>
      <c r="AR85" s="381"/>
      <c r="AS85" s="381"/>
      <c r="AT85" s="381"/>
      <c r="AU85" s="381"/>
    </row>
    <row r="86" spans="1:47" s="382" customFormat="1" ht="18" customHeight="1" x14ac:dyDescent="0.45">
      <c r="A86" s="408"/>
      <c r="B86" s="858"/>
      <c r="C86" s="438" t="s">
        <v>277</v>
      </c>
      <c r="D86" s="427" t="s">
        <v>810</v>
      </c>
      <c r="E86" s="894"/>
      <c r="F86" s="690">
        <v>0</v>
      </c>
      <c r="G86" s="385">
        <v>10</v>
      </c>
      <c r="H86" s="897"/>
      <c r="I86" s="390"/>
      <c r="J86" s="391"/>
      <c r="K86" s="392">
        <f t="shared" si="6"/>
        <v>0</v>
      </c>
      <c r="L86" s="389"/>
      <c r="M86" s="877"/>
      <c r="N86" s="880"/>
      <c r="O86" s="883"/>
      <c r="P86" s="883"/>
      <c r="Q86" s="872"/>
      <c r="R86" s="378"/>
      <c r="S86" s="808"/>
      <c r="T86" s="809"/>
      <c r="U86" s="809"/>
      <c r="V86" s="809"/>
      <c r="W86" s="809"/>
      <c r="X86" s="809"/>
      <c r="Y86" s="810"/>
      <c r="Z86" s="379"/>
      <c r="AA86" s="381"/>
      <c r="AB86" s="381"/>
      <c r="AC86" s="381"/>
      <c r="AD86" s="381"/>
      <c r="AE86" s="381"/>
      <c r="AF86" s="381"/>
      <c r="AG86" s="381"/>
      <c r="AH86" s="381"/>
      <c r="AI86" s="381"/>
      <c r="AJ86" s="381"/>
      <c r="AK86" s="381"/>
      <c r="AL86" s="381"/>
      <c r="AM86" s="381"/>
      <c r="AN86" s="381"/>
      <c r="AO86" s="381"/>
      <c r="AP86" s="381"/>
      <c r="AQ86" s="381"/>
      <c r="AR86" s="381"/>
      <c r="AS86" s="381"/>
      <c r="AT86" s="381"/>
      <c r="AU86" s="381"/>
    </row>
    <row r="87" spans="1:47" s="382" customFormat="1" ht="18" customHeight="1" x14ac:dyDescent="0.45">
      <c r="A87" s="408"/>
      <c r="B87" s="859"/>
      <c r="C87" s="439" t="s">
        <v>278</v>
      </c>
      <c r="D87" s="384" t="s">
        <v>811</v>
      </c>
      <c r="E87" s="895"/>
      <c r="F87" s="690">
        <v>0</v>
      </c>
      <c r="G87" s="385">
        <v>10</v>
      </c>
      <c r="H87" s="898"/>
      <c r="I87" s="393"/>
      <c r="J87" s="394"/>
      <c r="K87" s="395">
        <f t="shared" si="6"/>
        <v>0</v>
      </c>
      <c r="L87" s="389"/>
      <c r="M87" s="877"/>
      <c r="N87" s="880"/>
      <c r="O87" s="883"/>
      <c r="P87" s="883"/>
      <c r="Q87" s="872"/>
      <c r="R87" s="378"/>
      <c r="S87" s="808"/>
      <c r="T87" s="809"/>
      <c r="U87" s="809"/>
      <c r="V87" s="809"/>
      <c r="W87" s="809"/>
      <c r="X87" s="809"/>
      <c r="Y87" s="810"/>
      <c r="Z87" s="379"/>
      <c r="AA87" s="381"/>
      <c r="AB87" s="381"/>
      <c r="AC87" s="381"/>
      <c r="AD87" s="381"/>
      <c r="AE87" s="381"/>
      <c r="AF87" s="381"/>
      <c r="AG87" s="381"/>
      <c r="AH87" s="381"/>
      <c r="AI87" s="381"/>
      <c r="AJ87" s="381"/>
      <c r="AK87" s="381"/>
      <c r="AL87" s="381"/>
      <c r="AM87" s="381"/>
      <c r="AN87" s="381"/>
      <c r="AO87" s="381"/>
      <c r="AP87" s="381"/>
      <c r="AQ87" s="381"/>
      <c r="AR87" s="381"/>
      <c r="AS87" s="381"/>
      <c r="AT87" s="381"/>
      <c r="AU87" s="381"/>
    </row>
    <row r="88" spans="1:47" s="382" customFormat="1" ht="18" customHeight="1" thickBot="1" x14ac:dyDescent="0.5">
      <c r="A88" s="408"/>
      <c r="B88" s="396" t="s">
        <v>279</v>
      </c>
      <c r="C88" s="874" t="s">
        <v>280</v>
      </c>
      <c r="D88" s="875"/>
      <c r="E88" s="397">
        <f>IF(SUM(F89:F95)&lt;AA88,0,IF(SUM(F89:F95)&gt;100,100,SUM(F89:F95)))</f>
        <v>0</v>
      </c>
      <c r="F88" s="648"/>
      <c r="G88" s="399">
        <f>SUM(G89:G95)</f>
        <v>100</v>
      </c>
      <c r="H88" s="400">
        <v>2</v>
      </c>
      <c r="I88" s="406">
        <f>ROUND(E88*H88,0)</f>
        <v>0</v>
      </c>
      <c r="J88" s="402">
        <f>G88*H88</f>
        <v>200</v>
      </c>
      <c r="K88" s="403">
        <f t="shared" ref="K88" si="7">ROUND(I88/J88,3)</f>
        <v>0</v>
      </c>
      <c r="L88" s="377">
        <f>J88/N$78*P$78</f>
        <v>6.5217391304347824E-2</v>
      </c>
      <c r="M88" s="877"/>
      <c r="N88" s="880"/>
      <c r="O88" s="883"/>
      <c r="P88" s="883"/>
      <c r="Q88" s="872"/>
      <c r="R88" s="378"/>
      <c r="S88" s="808"/>
      <c r="T88" s="809"/>
      <c r="U88" s="809"/>
      <c r="V88" s="809"/>
      <c r="W88" s="809"/>
      <c r="X88" s="809"/>
      <c r="Y88" s="810"/>
      <c r="Z88" s="379"/>
      <c r="AA88" s="380">
        <v>10</v>
      </c>
      <c r="AB88" s="381"/>
      <c r="AC88" s="381"/>
      <c r="AD88" s="381"/>
      <c r="AE88" s="381"/>
      <c r="AF88" s="381"/>
      <c r="AG88" s="381"/>
      <c r="AH88" s="381"/>
      <c r="AI88" s="381"/>
      <c r="AJ88" s="381"/>
      <c r="AK88" s="381"/>
      <c r="AL88" s="381"/>
      <c r="AM88" s="381"/>
      <c r="AN88" s="381"/>
      <c r="AO88" s="381"/>
      <c r="AP88" s="381"/>
      <c r="AQ88" s="381"/>
      <c r="AR88" s="381"/>
      <c r="AS88" s="381"/>
      <c r="AT88" s="381"/>
      <c r="AU88" s="381"/>
    </row>
    <row r="89" spans="1:47" s="382" customFormat="1" ht="18" customHeight="1" x14ac:dyDescent="0.45">
      <c r="A89" s="408"/>
      <c r="B89" s="857"/>
      <c r="C89" s="383" t="s">
        <v>253</v>
      </c>
      <c r="D89" s="384" t="s">
        <v>812</v>
      </c>
      <c r="E89" s="857"/>
      <c r="F89" s="690">
        <v>0</v>
      </c>
      <c r="G89" s="385">
        <v>7.5</v>
      </c>
      <c r="H89" s="860"/>
      <c r="I89" s="390"/>
      <c r="J89" s="391"/>
      <c r="K89" s="392">
        <f>ROUND(F89/G89,3)</f>
        <v>0</v>
      </c>
      <c r="L89" s="389"/>
      <c r="M89" s="877"/>
      <c r="N89" s="880"/>
      <c r="O89" s="883"/>
      <c r="P89" s="883"/>
      <c r="Q89" s="872"/>
      <c r="R89" s="378"/>
      <c r="S89" s="808"/>
      <c r="T89" s="809"/>
      <c r="U89" s="809"/>
      <c r="V89" s="809"/>
      <c r="W89" s="809"/>
      <c r="X89" s="809"/>
      <c r="Y89" s="810"/>
      <c r="Z89" s="379"/>
      <c r="AA89" s="381"/>
      <c r="AB89" s="381"/>
      <c r="AC89" s="381"/>
      <c r="AD89" s="381"/>
      <c r="AE89" s="381"/>
      <c r="AF89" s="381"/>
      <c r="AG89" s="381"/>
      <c r="AH89" s="381"/>
      <c r="AI89" s="381"/>
      <c r="AJ89" s="381"/>
      <c r="AK89" s="381"/>
      <c r="AL89" s="381"/>
      <c r="AM89" s="381"/>
      <c r="AN89" s="381"/>
      <c r="AO89" s="381"/>
      <c r="AP89" s="381"/>
      <c r="AQ89" s="381"/>
      <c r="AR89" s="381"/>
      <c r="AS89" s="381"/>
      <c r="AT89" s="381"/>
      <c r="AU89" s="381"/>
    </row>
    <row r="90" spans="1:47" s="382" customFormat="1" ht="18" customHeight="1" x14ac:dyDescent="0.45">
      <c r="A90" s="408"/>
      <c r="B90" s="858"/>
      <c r="C90" s="383" t="s">
        <v>265</v>
      </c>
      <c r="D90" s="384" t="s">
        <v>813</v>
      </c>
      <c r="E90" s="858"/>
      <c r="F90" s="690">
        <v>0</v>
      </c>
      <c r="G90" s="385">
        <v>7.5</v>
      </c>
      <c r="H90" s="861"/>
      <c r="I90" s="390"/>
      <c r="J90" s="391"/>
      <c r="K90" s="392">
        <f>ROUND(F90/G90,3)</f>
        <v>0</v>
      </c>
      <c r="L90" s="389"/>
      <c r="M90" s="877"/>
      <c r="N90" s="880"/>
      <c r="O90" s="883"/>
      <c r="P90" s="883"/>
      <c r="Q90" s="872"/>
      <c r="R90" s="378"/>
      <c r="S90" s="808"/>
      <c r="T90" s="809"/>
      <c r="U90" s="809"/>
      <c r="V90" s="809"/>
      <c r="W90" s="809"/>
      <c r="X90" s="809"/>
      <c r="Y90" s="810"/>
      <c r="Z90" s="379"/>
      <c r="AA90" s="381"/>
      <c r="AB90" s="381"/>
      <c r="AC90" s="381"/>
      <c r="AD90" s="381"/>
      <c r="AE90" s="381"/>
      <c r="AF90" s="381"/>
      <c r="AG90" s="381"/>
      <c r="AH90" s="381"/>
      <c r="AI90" s="381"/>
      <c r="AJ90" s="381"/>
      <c r="AK90" s="381"/>
      <c r="AL90" s="381"/>
      <c r="AM90" s="381"/>
      <c r="AN90" s="381"/>
      <c r="AO90" s="381"/>
      <c r="AP90" s="381"/>
      <c r="AQ90" s="381"/>
      <c r="AR90" s="381"/>
      <c r="AS90" s="381"/>
      <c r="AT90" s="381"/>
      <c r="AU90" s="381"/>
    </row>
    <row r="91" spans="1:47" s="382" customFormat="1" ht="18" customHeight="1" x14ac:dyDescent="0.45">
      <c r="A91" s="408"/>
      <c r="B91" s="858"/>
      <c r="C91" s="383" t="s">
        <v>281</v>
      </c>
      <c r="D91" s="384" t="s">
        <v>814</v>
      </c>
      <c r="E91" s="858"/>
      <c r="F91" s="690">
        <v>0</v>
      </c>
      <c r="G91" s="385">
        <v>5</v>
      </c>
      <c r="H91" s="861"/>
      <c r="I91" s="390"/>
      <c r="J91" s="391"/>
      <c r="K91" s="392">
        <f>ROUND(F91/G91,3)</f>
        <v>0</v>
      </c>
      <c r="L91" s="389"/>
      <c r="M91" s="877"/>
      <c r="N91" s="880"/>
      <c r="O91" s="883"/>
      <c r="P91" s="883"/>
      <c r="Q91" s="872"/>
      <c r="R91" s="378"/>
      <c r="S91" s="808"/>
      <c r="T91" s="809"/>
      <c r="U91" s="809"/>
      <c r="V91" s="809"/>
      <c r="W91" s="809"/>
      <c r="X91" s="809"/>
      <c r="Y91" s="810"/>
      <c r="Z91" s="379"/>
      <c r="AA91" s="381"/>
      <c r="AB91" s="381"/>
      <c r="AC91" s="381"/>
      <c r="AD91" s="381"/>
      <c r="AE91" s="381"/>
      <c r="AF91" s="381"/>
      <c r="AG91" s="381"/>
      <c r="AH91" s="381"/>
      <c r="AI91" s="381"/>
      <c r="AJ91" s="381"/>
      <c r="AK91" s="381"/>
      <c r="AL91" s="381"/>
      <c r="AM91" s="381"/>
      <c r="AN91" s="381"/>
      <c r="AO91" s="381"/>
      <c r="AP91" s="381"/>
      <c r="AQ91" s="381"/>
      <c r="AR91" s="381"/>
      <c r="AS91" s="381"/>
      <c r="AT91" s="381"/>
      <c r="AU91" s="381"/>
    </row>
    <row r="92" spans="1:47" s="382" customFormat="1" ht="18" customHeight="1" x14ac:dyDescent="0.45">
      <c r="A92" s="408"/>
      <c r="B92" s="858"/>
      <c r="C92" s="383" t="s">
        <v>240</v>
      </c>
      <c r="D92" s="384" t="s">
        <v>284</v>
      </c>
      <c r="E92" s="858"/>
      <c r="F92" s="690">
        <v>0</v>
      </c>
      <c r="G92" s="385">
        <v>20</v>
      </c>
      <c r="H92" s="861"/>
      <c r="I92" s="390"/>
      <c r="J92" s="391"/>
      <c r="K92" s="392">
        <f>ROUND(F92/G92,3)</f>
        <v>0</v>
      </c>
      <c r="L92" s="389"/>
      <c r="M92" s="877"/>
      <c r="N92" s="880"/>
      <c r="O92" s="883"/>
      <c r="P92" s="883"/>
      <c r="Q92" s="872"/>
      <c r="R92" s="378"/>
      <c r="S92" s="808"/>
      <c r="T92" s="809"/>
      <c r="U92" s="809"/>
      <c r="V92" s="809"/>
      <c r="W92" s="809"/>
      <c r="X92" s="809"/>
      <c r="Y92" s="810"/>
      <c r="Z92" s="379"/>
      <c r="AA92" s="381"/>
      <c r="AB92" s="381"/>
      <c r="AC92" s="381"/>
      <c r="AD92" s="381"/>
      <c r="AE92" s="381"/>
      <c r="AF92" s="381"/>
      <c r="AG92" s="381"/>
      <c r="AH92" s="381"/>
      <c r="AI92" s="381"/>
      <c r="AJ92" s="381"/>
      <c r="AK92" s="381"/>
      <c r="AL92" s="381"/>
      <c r="AM92" s="381"/>
      <c r="AN92" s="381"/>
      <c r="AO92" s="381"/>
      <c r="AP92" s="381"/>
      <c r="AQ92" s="381"/>
      <c r="AR92" s="381"/>
      <c r="AS92" s="381"/>
      <c r="AT92" s="381"/>
      <c r="AU92" s="381"/>
    </row>
    <row r="93" spans="1:47" s="382" customFormat="1" ht="18" customHeight="1" x14ac:dyDescent="0.45">
      <c r="A93" s="408"/>
      <c r="B93" s="858"/>
      <c r="C93" s="383" t="s">
        <v>242</v>
      </c>
      <c r="D93" s="384" t="s">
        <v>815</v>
      </c>
      <c r="E93" s="858"/>
      <c r="F93" s="690">
        <v>0</v>
      </c>
      <c r="G93" s="385">
        <v>30</v>
      </c>
      <c r="H93" s="861"/>
      <c r="I93" s="390"/>
      <c r="J93" s="391"/>
      <c r="K93" s="392">
        <f>ROUND(F93/G93,3)</f>
        <v>0</v>
      </c>
      <c r="L93" s="389"/>
      <c r="M93" s="877"/>
      <c r="N93" s="880"/>
      <c r="O93" s="883"/>
      <c r="P93" s="883"/>
      <c r="Q93" s="872"/>
      <c r="R93" s="378"/>
      <c r="S93" s="808"/>
      <c r="T93" s="809"/>
      <c r="U93" s="809"/>
      <c r="V93" s="809"/>
      <c r="W93" s="809"/>
      <c r="X93" s="809"/>
      <c r="Y93" s="810"/>
      <c r="Z93" s="379"/>
      <c r="AA93" s="381"/>
      <c r="AB93" s="381"/>
      <c r="AC93" s="381"/>
      <c r="AD93" s="381"/>
      <c r="AE93" s="381"/>
      <c r="AF93" s="381"/>
      <c r="AG93" s="381"/>
      <c r="AH93" s="381"/>
      <c r="AI93" s="381"/>
      <c r="AJ93" s="381"/>
      <c r="AK93" s="381"/>
      <c r="AL93" s="381"/>
      <c r="AM93" s="381"/>
      <c r="AN93" s="381"/>
      <c r="AO93" s="381"/>
      <c r="AP93" s="381"/>
      <c r="AQ93" s="381"/>
      <c r="AR93" s="381"/>
      <c r="AS93" s="381"/>
      <c r="AT93" s="381"/>
      <c r="AU93" s="381"/>
    </row>
    <row r="94" spans="1:47" s="382" customFormat="1" ht="18" customHeight="1" x14ac:dyDescent="0.45">
      <c r="A94" s="408"/>
      <c r="B94" s="858"/>
      <c r="C94" s="383" t="s">
        <v>244</v>
      </c>
      <c r="D94" s="384" t="s">
        <v>816</v>
      </c>
      <c r="E94" s="858"/>
      <c r="F94" s="440">
        <f>SUM(E209,E222,E228)*0.05</f>
        <v>0</v>
      </c>
      <c r="G94" s="428">
        <v>15</v>
      </c>
      <c r="H94" s="861"/>
      <c r="I94" s="390"/>
      <c r="J94" s="391"/>
      <c r="K94" s="392"/>
      <c r="L94" s="389"/>
      <c r="M94" s="877"/>
      <c r="N94" s="880"/>
      <c r="O94" s="883"/>
      <c r="P94" s="883"/>
      <c r="Q94" s="872"/>
      <c r="R94" s="378"/>
      <c r="S94" s="691"/>
      <c r="T94" s="692"/>
      <c r="U94" s="692"/>
      <c r="V94" s="692"/>
      <c r="W94" s="692"/>
      <c r="X94" s="692"/>
      <c r="Y94" s="693"/>
      <c r="Z94" s="379"/>
      <c r="AA94" s="381"/>
      <c r="AB94" s="381"/>
      <c r="AC94" s="381"/>
      <c r="AD94" s="381"/>
      <c r="AE94" s="381"/>
      <c r="AF94" s="381"/>
      <c r="AG94" s="381"/>
      <c r="AH94" s="381"/>
      <c r="AI94" s="381"/>
      <c r="AJ94" s="381"/>
      <c r="AK94" s="381"/>
      <c r="AL94" s="381"/>
      <c r="AM94" s="381"/>
      <c r="AN94" s="381"/>
      <c r="AO94" s="381"/>
      <c r="AP94" s="381"/>
      <c r="AQ94" s="381"/>
      <c r="AR94" s="381"/>
      <c r="AS94" s="381"/>
      <c r="AT94" s="381"/>
      <c r="AU94" s="381"/>
    </row>
    <row r="95" spans="1:47" s="382" customFormat="1" ht="18" customHeight="1" thickBot="1" x14ac:dyDescent="0.5">
      <c r="A95" s="408"/>
      <c r="B95" s="858"/>
      <c r="C95" s="383" t="s">
        <v>246</v>
      </c>
      <c r="D95" s="384" t="s">
        <v>817</v>
      </c>
      <c r="E95" s="887"/>
      <c r="F95" s="690">
        <v>0</v>
      </c>
      <c r="G95" s="431">
        <v>15</v>
      </c>
      <c r="H95" s="861"/>
      <c r="I95" s="390"/>
      <c r="J95" s="391"/>
      <c r="K95" s="392">
        <f>ROUND(F95/G95,3)</f>
        <v>0</v>
      </c>
      <c r="L95" s="389"/>
      <c r="M95" s="877"/>
      <c r="N95" s="880"/>
      <c r="O95" s="883"/>
      <c r="P95" s="883"/>
      <c r="Q95" s="872"/>
      <c r="R95" s="378"/>
      <c r="S95" s="808"/>
      <c r="T95" s="809"/>
      <c r="U95" s="809"/>
      <c r="V95" s="809"/>
      <c r="W95" s="809"/>
      <c r="X95" s="809"/>
      <c r="Y95" s="810"/>
      <c r="Z95" s="379"/>
      <c r="AA95" s="381"/>
      <c r="AB95" s="381"/>
      <c r="AC95" s="381"/>
      <c r="AD95" s="381"/>
      <c r="AE95" s="381"/>
      <c r="AF95" s="381"/>
      <c r="AG95" s="381"/>
      <c r="AH95" s="381"/>
      <c r="AI95" s="381"/>
      <c r="AJ95" s="381"/>
      <c r="AK95" s="381"/>
      <c r="AL95" s="381"/>
      <c r="AM95" s="381"/>
      <c r="AN95" s="381"/>
      <c r="AO95" s="381"/>
      <c r="AP95" s="381"/>
      <c r="AQ95" s="381"/>
      <c r="AR95" s="381"/>
      <c r="AS95" s="381"/>
      <c r="AT95" s="381"/>
      <c r="AU95" s="381"/>
    </row>
    <row r="96" spans="1:47" s="382" customFormat="1" ht="18" customHeight="1" thickBot="1" x14ac:dyDescent="0.5">
      <c r="A96" s="441"/>
      <c r="B96" s="370" t="s">
        <v>286</v>
      </c>
      <c r="C96" s="863" t="s">
        <v>287</v>
      </c>
      <c r="D96" s="864"/>
      <c r="E96" s="397">
        <f>IF(SUM(F97:F102)&lt;AA96,0,IF(SUM(F97:F102)&gt;100,100,SUM(F97:F102)))</f>
        <v>0</v>
      </c>
      <c r="F96" s="442"/>
      <c r="G96" s="373">
        <f>SUM(G97:G102)</f>
        <v>100</v>
      </c>
      <c r="H96" s="373">
        <v>5</v>
      </c>
      <c r="I96" s="374">
        <f>ROUND(E96*H96,0)</f>
        <v>0</v>
      </c>
      <c r="J96" s="375">
        <f>G96*H96</f>
        <v>500</v>
      </c>
      <c r="K96" s="376">
        <f>ROUND(I96/J96,3)</f>
        <v>0</v>
      </c>
      <c r="L96" s="377">
        <f>J96/N$96*P$96</f>
        <v>4.5180722891566265E-2</v>
      </c>
      <c r="M96" s="876">
        <f>SUM(I96:I167)</f>
        <v>0</v>
      </c>
      <c r="N96" s="879">
        <f>SUM(J96:J167)</f>
        <v>2490</v>
      </c>
      <c r="O96" s="900">
        <f>M96/N96</f>
        <v>0</v>
      </c>
      <c r="P96" s="882">
        <v>0.22500000000000001</v>
      </c>
      <c r="Q96" s="872"/>
      <c r="R96" s="378"/>
      <c r="S96" s="808"/>
      <c r="T96" s="809"/>
      <c r="U96" s="809"/>
      <c r="V96" s="809"/>
      <c r="W96" s="809"/>
      <c r="X96" s="809"/>
      <c r="Y96" s="810"/>
      <c r="Z96" s="379"/>
      <c r="AA96" s="380">
        <v>20</v>
      </c>
      <c r="AB96" s="381"/>
      <c r="AC96" s="381"/>
      <c r="AD96" s="381"/>
      <c r="AE96" s="381"/>
      <c r="AF96" s="381"/>
      <c r="AG96" s="381"/>
      <c r="AH96" s="381"/>
      <c r="AI96" s="381"/>
      <c r="AJ96" s="381"/>
      <c r="AK96" s="381"/>
      <c r="AL96" s="381"/>
      <c r="AM96" s="381"/>
      <c r="AN96" s="381"/>
      <c r="AO96" s="381"/>
      <c r="AP96" s="381"/>
      <c r="AQ96" s="381"/>
      <c r="AR96" s="381"/>
      <c r="AS96" s="381"/>
      <c r="AT96" s="381"/>
      <c r="AU96" s="381"/>
    </row>
    <row r="97" spans="1:47" s="382" customFormat="1" ht="18" customHeight="1" x14ac:dyDescent="0.45">
      <c r="A97" s="441"/>
      <c r="B97" s="857"/>
      <c r="C97" s="383" t="s">
        <v>238</v>
      </c>
      <c r="D97" s="384" t="s">
        <v>818</v>
      </c>
      <c r="E97" s="857"/>
      <c r="F97" s="690">
        <v>0</v>
      </c>
      <c r="G97" s="385">
        <v>30</v>
      </c>
      <c r="H97" s="903"/>
      <c r="I97" s="443"/>
      <c r="J97" s="387"/>
      <c r="K97" s="388">
        <f t="shared" ref="K97:K102" si="8">ROUND(F97/G97,3)</f>
        <v>0</v>
      </c>
      <c r="L97" s="389"/>
      <c r="M97" s="877"/>
      <c r="N97" s="880"/>
      <c r="O97" s="901"/>
      <c r="P97" s="883"/>
      <c r="Q97" s="872"/>
      <c r="R97" s="378"/>
      <c r="S97" s="808"/>
      <c r="T97" s="809"/>
      <c r="U97" s="809"/>
      <c r="V97" s="809"/>
      <c r="W97" s="809"/>
      <c r="X97" s="809"/>
      <c r="Y97" s="810"/>
      <c r="Z97" s="379"/>
      <c r="AA97" s="381"/>
      <c r="AB97" s="381"/>
      <c r="AC97" s="381"/>
      <c r="AD97" s="381"/>
      <c r="AE97" s="381"/>
      <c r="AF97" s="381"/>
      <c r="AG97" s="381"/>
      <c r="AH97" s="381"/>
      <c r="AI97" s="381"/>
      <c r="AJ97" s="381"/>
      <c r="AK97" s="381"/>
      <c r="AL97" s="381"/>
      <c r="AM97" s="381"/>
      <c r="AN97" s="381"/>
      <c r="AO97" s="381"/>
      <c r="AP97" s="381"/>
      <c r="AQ97" s="381"/>
      <c r="AR97" s="381"/>
      <c r="AS97" s="381"/>
      <c r="AT97" s="381"/>
      <c r="AU97" s="381"/>
    </row>
    <row r="98" spans="1:47" s="382" customFormat="1" ht="18" customHeight="1" x14ac:dyDescent="0.45">
      <c r="A98" s="441"/>
      <c r="B98" s="858"/>
      <c r="C98" s="383" t="s">
        <v>240</v>
      </c>
      <c r="D98" s="384" t="s">
        <v>819</v>
      </c>
      <c r="E98" s="858"/>
      <c r="F98" s="690">
        <v>0</v>
      </c>
      <c r="G98" s="385">
        <v>10</v>
      </c>
      <c r="H98" s="903"/>
      <c r="I98" s="444"/>
      <c r="J98" s="391"/>
      <c r="K98" s="392">
        <f t="shared" si="8"/>
        <v>0</v>
      </c>
      <c r="L98" s="389"/>
      <c r="M98" s="877"/>
      <c r="N98" s="880"/>
      <c r="O98" s="901"/>
      <c r="P98" s="883"/>
      <c r="Q98" s="872"/>
      <c r="R98" s="378"/>
      <c r="S98" s="808"/>
      <c r="T98" s="809"/>
      <c r="U98" s="809"/>
      <c r="V98" s="809"/>
      <c r="W98" s="809"/>
      <c r="X98" s="809"/>
      <c r="Y98" s="810"/>
      <c r="Z98" s="379"/>
      <c r="AA98" s="381"/>
      <c r="AB98" s="381"/>
      <c r="AC98" s="381"/>
      <c r="AD98" s="381"/>
      <c r="AE98" s="381"/>
      <c r="AF98" s="381"/>
      <c r="AG98" s="381"/>
      <c r="AH98" s="381"/>
      <c r="AI98" s="381"/>
      <c r="AJ98" s="381"/>
      <c r="AK98" s="381"/>
      <c r="AL98" s="381"/>
      <c r="AM98" s="381"/>
      <c r="AN98" s="381"/>
      <c r="AO98" s="381"/>
      <c r="AP98" s="381"/>
      <c r="AQ98" s="381"/>
      <c r="AR98" s="381"/>
      <c r="AS98" s="381"/>
      <c r="AT98" s="381"/>
      <c r="AU98" s="381"/>
    </row>
    <row r="99" spans="1:47" s="382" customFormat="1" ht="25.5" x14ac:dyDescent="0.45">
      <c r="A99" s="441"/>
      <c r="B99" s="858"/>
      <c r="C99" s="445" t="s">
        <v>242</v>
      </c>
      <c r="D99" s="384" t="s">
        <v>820</v>
      </c>
      <c r="E99" s="858"/>
      <c r="F99" s="690">
        <v>0</v>
      </c>
      <c r="G99" s="385">
        <v>10</v>
      </c>
      <c r="H99" s="903"/>
      <c r="I99" s="444"/>
      <c r="J99" s="391"/>
      <c r="K99" s="392">
        <f t="shared" si="8"/>
        <v>0</v>
      </c>
      <c r="L99" s="389"/>
      <c r="M99" s="877"/>
      <c r="N99" s="880"/>
      <c r="O99" s="901"/>
      <c r="P99" s="883"/>
      <c r="Q99" s="872"/>
      <c r="R99" s="378"/>
      <c r="S99" s="808"/>
      <c r="T99" s="809"/>
      <c r="U99" s="809"/>
      <c r="V99" s="809"/>
      <c r="W99" s="809"/>
      <c r="X99" s="809"/>
      <c r="Y99" s="810"/>
      <c r="Z99" s="379"/>
      <c r="AA99" s="381"/>
      <c r="AB99" s="381"/>
      <c r="AC99" s="381"/>
      <c r="AD99" s="381"/>
      <c r="AE99" s="381"/>
      <c r="AF99" s="381"/>
      <c r="AG99" s="381"/>
      <c r="AH99" s="381"/>
      <c r="AI99" s="381"/>
      <c r="AJ99" s="381"/>
      <c r="AK99" s="381"/>
      <c r="AL99" s="381"/>
      <c r="AM99" s="381"/>
      <c r="AN99" s="381"/>
      <c r="AO99" s="381"/>
      <c r="AP99" s="381"/>
      <c r="AQ99" s="381"/>
      <c r="AR99" s="381"/>
      <c r="AS99" s="381"/>
      <c r="AT99" s="381"/>
      <c r="AU99" s="381"/>
    </row>
    <row r="100" spans="1:47" s="382" customFormat="1" ht="18" customHeight="1" x14ac:dyDescent="0.45">
      <c r="A100" s="441"/>
      <c r="B100" s="858"/>
      <c r="C100" s="445" t="s">
        <v>244</v>
      </c>
      <c r="D100" s="427" t="s">
        <v>288</v>
      </c>
      <c r="E100" s="858"/>
      <c r="F100" s="690">
        <v>0</v>
      </c>
      <c r="G100" s="385">
        <v>30</v>
      </c>
      <c r="H100" s="903"/>
      <c r="I100" s="444"/>
      <c r="J100" s="391"/>
      <c r="K100" s="392">
        <f t="shared" si="8"/>
        <v>0</v>
      </c>
      <c r="L100" s="389"/>
      <c r="M100" s="877"/>
      <c r="N100" s="880"/>
      <c r="O100" s="901"/>
      <c r="P100" s="883"/>
      <c r="Q100" s="872"/>
      <c r="R100" s="378"/>
      <c r="S100" s="808"/>
      <c r="T100" s="809"/>
      <c r="U100" s="809"/>
      <c r="V100" s="809"/>
      <c r="W100" s="809"/>
      <c r="X100" s="809"/>
      <c r="Y100" s="810"/>
      <c r="Z100" s="379"/>
      <c r="AA100" s="381"/>
      <c r="AB100" s="381"/>
      <c r="AC100" s="381"/>
      <c r="AD100" s="381"/>
      <c r="AE100" s="381"/>
      <c r="AF100" s="381"/>
      <c r="AG100" s="381"/>
      <c r="AH100" s="381"/>
      <c r="AI100" s="381"/>
      <c r="AJ100" s="381"/>
      <c r="AK100" s="381"/>
      <c r="AL100" s="381"/>
      <c r="AM100" s="381"/>
      <c r="AN100" s="381"/>
      <c r="AO100" s="381"/>
      <c r="AP100" s="381"/>
      <c r="AQ100" s="381"/>
      <c r="AR100" s="381"/>
      <c r="AS100" s="381"/>
      <c r="AT100" s="381"/>
      <c r="AU100" s="381"/>
    </row>
    <row r="101" spans="1:47" s="382" customFormat="1" ht="18" customHeight="1" x14ac:dyDescent="0.45">
      <c r="A101" s="441"/>
      <c r="B101" s="858"/>
      <c r="C101" s="445" t="s">
        <v>246</v>
      </c>
      <c r="D101" s="427" t="s">
        <v>289</v>
      </c>
      <c r="E101" s="858"/>
      <c r="F101" s="690">
        <v>0</v>
      </c>
      <c r="G101" s="385">
        <v>10</v>
      </c>
      <c r="H101" s="903"/>
      <c r="I101" s="444"/>
      <c r="J101" s="391"/>
      <c r="K101" s="392">
        <f t="shared" si="8"/>
        <v>0</v>
      </c>
      <c r="L101" s="389"/>
      <c r="M101" s="877"/>
      <c r="N101" s="880"/>
      <c r="O101" s="901"/>
      <c r="P101" s="883"/>
      <c r="Q101" s="872"/>
      <c r="R101" s="378"/>
      <c r="S101" s="808"/>
      <c r="T101" s="809"/>
      <c r="U101" s="809"/>
      <c r="V101" s="809"/>
      <c r="W101" s="809"/>
      <c r="X101" s="809"/>
      <c r="Y101" s="810"/>
      <c r="Z101" s="379"/>
      <c r="AA101" s="381"/>
      <c r="AB101" s="381"/>
      <c r="AC101" s="381"/>
      <c r="AD101" s="381"/>
      <c r="AE101" s="381"/>
      <c r="AF101" s="381"/>
      <c r="AG101" s="381"/>
      <c r="AH101" s="381"/>
      <c r="AI101" s="381"/>
      <c r="AJ101" s="381"/>
      <c r="AK101" s="381"/>
      <c r="AL101" s="381"/>
      <c r="AM101" s="381"/>
      <c r="AN101" s="381"/>
      <c r="AO101" s="381"/>
      <c r="AP101" s="381"/>
      <c r="AQ101" s="381"/>
      <c r="AR101" s="381"/>
      <c r="AS101" s="381"/>
      <c r="AT101" s="381"/>
      <c r="AU101" s="381"/>
    </row>
    <row r="102" spans="1:47" s="382" customFormat="1" ht="25.5" x14ac:dyDescent="0.45">
      <c r="A102" s="441"/>
      <c r="B102" s="859"/>
      <c r="C102" s="383" t="s">
        <v>275</v>
      </c>
      <c r="D102" s="384" t="s">
        <v>291</v>
      </c>
      <c r="E102" s="859"/>
      <c r="F102" s="690">
        <v>0</v>
      </c>
      <c r="G102" s="385">
        <v>10</v>
      </c>
      <c r="H102" s="903"/>
      <c r="I102" s="446"/>
      <c r="J102" s="394"/>
      <c r="K102" s="395">
        <f t="shared" si="8"/>
        <v>0</v>
      </c>
      <c r="L102" s="389"/>
      <c r="M102" s="877"/>
      <c r="N102" s="880"/>
      <c r="O102" s="901"/>
      <c r="P102" s="883"/>
      <c r="Q102" s="872"/>
      <c r="R102" s="378"/>
      <c r="S102" s="808"/>
      <c r="T102" s="809"/>
      <c r="U102" s="809"/>
      <c r="V102" s="809"/>
      <c r="W102" s="809"/>
      <c r="X102" s="809"/>
      <c r="Y102" s="810"/>
      <c r="Z102" s="379"/>
      <c r="AA102" s="381"/>
      <c r="AB102" s="381"/>
      <c r="AC102" s="381"/>
      <c r="AD102" s="381"/>
      <c r="AE102" s="381"/>
      <c r="AF102" s="381"/>
      <c r="AG102" s="381"/>
      <c r="AH102" s="381"/>
      <c r="AI102" s="381"/>
      <c r="AJ102" s="381"/>
      <c r="AK102" s="381"/>
      <c r="AL102" s="381"/>
      <c r="AM102" s="381"/>
      <c r="AN102" s="381"/>
      <c r="AO102" s="381"/>
      <c r="AP102" s="381"/>
      <c r="AQ102" s="381"/>
      <c r="AR102" s="381"/>
      <c r="AS102" s="381"/>
      <c r="AT102" s="381"/>
      <c r="AU102" s="381"/>
    </row>
    <row r="103" spans="1:47" s="382" customFormat="1" ht="18" customHeight="1" thickBot="1" x14ac:dyDescent="0.5">
      <c r="A103" s="441"/>
      <c r="B103" s="396" t="s">
        <v>293</v>
      </c>
      <c r="C103" s="874" t="s">
        <v>294</v>
      </c>
      <c r="D103" s="875"/>
      <c r="E103" s="397">
        <f>IF(SUM(F104:F105)&lt;AA103,0,IF(SUM(F104:F105)&gt;100,100,SUM(F104:F105)))</f>
        <v>0</v>
      </c>
      <c r="F103" s="398"/>
      <c r="G103" s="400">
        <v>100</v>
      </c>
      <c r="H103" s="399">
        <v>3</v>
      </c>
      <c r="I103" s="401">
        <f>ROUND(E103*H103,0)</f>
        <v>0</v>
      </c>
      <c r="J103" s="447">
        <f>G103*H103</f>
        <v>300</v>
      </c>
      <c r="K103" s="404">
        <f>ROUND(I103/J103,3)</f>
        <v>0</v>
      </c>
      <c r="L103" s="377">
        <f>J103/N$96*P$96</f>
        <v>2.710843373493976E-2</v>
      </c>
      <c r="M103" s="877"/>
      <c r="N103" s="880"/>
      <c r="O103" s="901"/>
      <c r="P103" s="883"/>
      <c r="Q103" s="872"/>
      <c r="R103" s="378"/>
      <c r="S103" s="808"/>
      <c r="T103" s="809"/>
      <c r="U103" s="809"/>
      <c r="V103" s="809"/>
      <c r="W103" s="809"/>
      <c r="X103" s="809"/>
      <c r="Y103" s="810"/>
      <c r="Z103" s="379"/>
      <c r="AA103" s="380">
        <v>30</v>
      </c>
      <c r="AB103" s="381"/>
      <c r="AC103" s="381"/>
      <c r="AD103" s="381"/>
      <c r="AE103" s="381"/>
      <c r="AF103" s="381"/>
      <c r="AG103" s="381"/>
      <c r="AH103" s="381"/>
      <c r="AI103" s="381"/>
      <c r="AJ103" s="381"/>
      <c r="AK103" s="381"/>
      <c r="AL103" s="381"/>
      <c r="AM103" s="381"/>
      <c r="AN103" s="381"/>
      <c r="AO103" s="381"/>
      <c r="AP103" s="381"/>
      <c r="AQ103" s="381"/>
      <c r="AR103" s="381"/>
      <c r="AS103" s="381"/>
      <c r="AT103" s="381"/>
      <c r="AU103" s="381"/>
    </row>
    <row r="104" spans="1:47" s="382" customFormat="1" ht="18" customHeight="1" x14ac:dyDescent="0.45">
      <c r="A104" s="441"/>
      <c r="B104" s="857"/>
      <c r="C104" s="383" t="s">
        <v>238</v>
      </c>
      <c r="D104" s="448" t="s">
        <v>295</v>
      </c>
      <c r="E104" s="903"/>
      <c r="F104" s="698">
        <v>0</v>
      </c>
      <c r="G104" s="385">
        <v>50</v>
      </c>
      <c r="H104" s="904"/>
      <c r="I104" s="413"/>
      <c r="J104" s="414"/>
      <c r="K104" s="392">
        <f>ROUND(F104/G104,3)</f>
        <v>0</v>
      </c>
      <c r="L104" s="389"/>
      <c r="M104" s="877"/>
      <c r="N104" s="880"/>
      <c r="O104" s="901"/>
      <c r="P104" s="883"/>
      <c r="Q104" s="872"/>
      <c r="R104" s="378"/>
      <c r="S104" s="808"/>
      <c r="T104" s="809"/>
      <c r="U104" s="809"/>
      <c r="V104" s="809"/>
      <c r="W104" s="809"/>
      <c r="X104" s="809"/>
      <c r="Y104" s="810"/>
      <c r="Z104" s="379"/>
      <c r="AA104" s="381"/>
      <c r="AB104" s="381"/>
      <c r="AC104" s="381"/>
      <c r="AD104" s="381"/>
      <c r="AE104" s="381"/>
      <c r="AF104" s="381"/>
      <c r="AG104" s="381"/>
      <c r="AH104" s="381"/>
      <c r="AI104" s="381"/>
      <c r="AJ104" s="381"/>
      <c r="AK104" s="381"/>
      <c r="AL104" s="381"/>
      <c r="AM104" s="381"/>
      <c r="AN104" s="381"/>
      <c r="AO104" s="381"/>
      <c r="AP104" s="381"/>
      <c r="AQ104" s="381"/>
      <c r="AR104" s="381"/>
      <c r="AS104" s="381"/>
      <c r="AT104" s="381"/>
      <c r="AU104" s="381"/>
    </row>
    <row r="105" spans="1:47" s="382" customFormat="1" ht="18" customHeight="1" x14ac:dyDescent="0.45">
      <c r="A105" s="441"/>
      <c r="B105" s="859"/>
      <c r="C105" s="383" t="s">
        <v>240</v>
      </c>
      <c r="D105" s="448" t="s">
        <v>296</v>
      </c>
      <c r="E105" s="903"/>
      <c r="F105" s="698">
        <v>0</v>
      </c>
      <c r="G105" s="385">
        <v>50</v>
      </c>
      <c r="H105" s="904"/>
      <c r="I105" s="416"/>
      <c r="J105" s="417"/>
      <c r="K105" s="392">
        <f>ROUND(F105/G105,3)</f>
        <v>0</v>
      </c>
      <c r="L105" s="389"/>
      <c r="M105" s="877"/>
      <c r="N105" s="880"/>
      <c r="O105" s="901"/>
      <c r="P105" s="883"/>
      <c r="Q105" s="872"/>
      <c r="R105" s="378"/>
      <c r="S105" s="808"/>
      <c r="T105" s="809"/>
      <c r="U105" s="809"/>
      <c r="V105" s="809"/>
      <c r="W105" s="809"/>
      <c r="X105" s="809"/>
      <c r="Y105" s="810"/>
      <c r="Z105" s="379"/>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row>
    <row r="106" spans="1:47" s="382" customFormat="1" ht="18" customHeight="1" thickBot="1" x14ac:dyDescent="0.5">
      <c r="A106" s="441"/>
      <c r="B106" s="421" t="s">
        <v>297</v>
      </c>
      <c r="C106" s="885" t="s">
        <v>298</v>
      </c>
      <c r="D106" s="886"/>
      <c r="E106" s="397">
        <f>IF(SUM(F107:F111)&lt;AA106,0,IF(SUM(F107:F111)&gt;100,100,SUM(F107:F111)))</f>
        <v>0</v>
      </c>
      <c r="F106" s="449"/>
      <c r="G106" s="399">
        <f>SUM(G107:G111)</f>
        <v>100</v>
      </c>
      <c r="H106" s="400">
        <v>3</v>
      </c>
      <c r="I106" s="406">
        <f>ROUND(E106*H106,0)</f>
        <v>0</v>
      </c>
      <c r="J106" s="402">
        <f>G106*H106</f>
        <v>300</v>
      </c>
      <c r="K106" s="404">
        <f>ROUND(I106/J106,3)</f>
        <v>0</v>
      </c>
      <c r="L106" s="377">
        <f>J106/N$96*P$96</f>
        <v>2.710843373493976E-2</v>
      </c>
      <c r="M106" s="877"/>
      <c r="N106" s="880"/>
      <c r="O106" s="901"/>
      <c r="P106" s="883"/>
      <c r="Q106" s="872"/>
      <c r="R106" s="378"/>
      <c r="S106" s="808"/>
      <c r="T106" s="809"/>
      <c r="U106" s="809"/>
      <c r="V106" s="809"/>
      <c r="W106" s="809"/>
      <c r="X106" s="809"/>
      <c r="Y106" s="810"/>
      <c r="Z106" s="379"/>
      <c r="AA106" s="380">
        <v>30</v>
      </c>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row>
    <row r="107" spans="1:47" s="382" customFormat="1" ht="18" customHeight="1" x14ac:dyDescent="0.45">
      <c r="A107" s="441"/>
      <c r="B107" s="857"/>
      <c r="C107" s="383" t="s">
        <v>238</v>
      </c>
      <c r="D107" s="384" t="s">
        <v>299</v>
      </c>
      <c r="E107" s="857"/>
      <c r="F107" s="690">
        <v>0</v>
      </c>
      <c r="G107" s="385">
        <v>10</v>
      </c>
      <c r="H107" s="860"/>
      <c r="I107" s="386"/>
      <c r="J107" s="387"/>
      <c r="K107" s="392">
        <f t="shared" ref="K107:K111" si="9">ROUND(F107/G107,3)</f>
        <v>0</v>
      </c>
      <c r="L107" s="389"/>
      <c r="M107" s="877"/>
      <c r="N107" s="880"/>
      <c r="O107" s="901"/>
      <c r="P107" s="883"/>
      <c r="Q107" s="872"/>
      <c r="R107" s="378"/>
      <c r="S107" s="808"/>
      <c r="T107" s="809"/>
      <c r="U107" s="809"/>
      <c r="V107" s="809"/>
      <c r="W107" s="809"/>
      <c r="X107" s="809"/>
      <c r="Y107" s="810"/>
      <c r="Z107" s="379"/>
      <c r="AA107" s="381"/>
      <c r="AB107" s="381"/>
      <c r="AC107" s="381"/>
      <c r="AD107" s="381"/>
      <c r="AE107" s="381"/>
      <c r="AF107" s="381"/>
      <c r="AG107" s="381"/>
      <c r="AH107" s="381"/>
      <c r="AI107" s="381"/>
      <c r="AJ107" s="381"/>
      <c r="AK107" s="381"/>
      <c r="AL107" s="381"/>
      <c r="AM107" s="381"/>
      <c r="AN107" s="381"/>
      <c r="AO107" s="381"/>
      <c r="AP107" s="381"/>
      <c r="AQ107" s="381"/>
      <c r="AR107" s="381"/>
      <c r="AS107" s="381"/>
      <c r="AT107" s="381"/>
      <c r="AU107" s="381"/>
    </row>
    <row r="108" spans="1:47" s="382" customFormat="1" ht="18" customHeight="1" x14ac:dyDescent="0.45">
      <c r="A108" s="441"/>
      <c r="B108" s="858"/>
      <c r="C108" s="383" t="s">
        <v>240</v>
      </c>
      <c r="D108" s="384" t="s">
        <v>300</v>
      </c>
      <c r="E108" s="858"/>
      <c r="F108" s="690">
        <v>0</v>
      </c>
      <c r="G108" s="385">
        <v>35</v>
      </c>
      <c r="H108" s="861"/>
      <c r="I108" s="390"/>
      <c r="J108" s="391"/>
      <c r="K108" s="392">
        <f t="shared" si="9"/>
        <v>0</v>
      </c>
      <c r="L108" s="389"/>
      <c r="M108" s="877"/>
      <c r="N108" s="880"/>
      <c r="O108" s="901"/>
      <c r="P108" s="883"/>
      <c r="Q108" s="872"/>
      <c r="R108" s="378"/>
      <c r="S108" s="808"/>
      <c r="T108" s="809"/>
      <c r="U108" s="809"/>
      <c r="V108" s="809"/>
      <c r="W108" s="809"/>
      <c r="X108" s="809"/>
      <c r="Y108" s="810"/>
      <c r="Z108" s="379"/>
      <c r="AA108" s="381"/>
      <c r="AB108" s="381"/>
      <c r="AC108" s="381"/>
      <c r="AD108" s="381"/>
      <c r="AE108" s="381"/>
      <c r="AF108" s="381"/>
      <c r="AG108" s="381"/>
      <c r="AH108" s="381"/>
      <c r="AI108" s="381"/>
      <c r="AJ108" s="381"/>
      <c r="AK108" s="381"/>
      <c r="AL108" s="381"/>
      <c r="AM108" s="381"/>
      <c r="AN108" s="381"/>
      <c r="AO108" s="381"/>
      <c r="AP108" s="381"/>
      <c r="AQ108" s="381"/>
      <c r="AR108" s="381"/>
      <c r="AS108" s="381"/>
      <c r="AT108" s="381"/>
      <c r="AU108" s="381"/>
    </row>
    <row r="109" spans="1:47" s="382" customFormat="1" ht="18" customHeight="1" x14ac:dyDescent="0.45">
      <c r="A109" s="441"/>
      <c r="B109" s="858"/>
      <c r="C109" s="383" t="s">
        <v>242</v>
      </c>
      <c r="D109" s="384" t="s">
        <v>301</v>
      </c>
      <c r="E109" s="858"/>
      <c r="F109" s="690">
        <v>0</v>
      </c>
      <c r="G109" s="385">
        <v>15</v>
      </c>
      <c r="H109" s="861"/>
      <c r="I109" s="390"/>
      <c r="J109" s="391"/>
      <c r="K109" s="392">
        <f t="shared" si="9"/>
        <v>0</v>
      </c>
      <c r="L109" s="389"/>
      <c r="M109" s="877"/>
      <c r="N109" s="880"/>
      <c r="O109" s="901"/>
      <c r="P109" s="883"/>
      <c r="Q109" s="872"/>
      <c r="R109" s="378"/>
      <c r="S109" s="808"/>
      <c r="T109" s="809"/>
      <c r="U109" s="809"/>
      <c r="V109" s="809"/>
      <c r="W109" s="809"/>
      <c r="X109" s="809"/>
      <c r="Y109" s="810"/>
      <c r="Z109" s="379"/>
      <c r="AA109" s="381"/>
      <c r="AB109" s="381"/>
      <c r="AC109" s="381"/>
      <c r="AD109" s="381"/>
      <c r="AE109" s="381"/>
      <c r="AF109" s="381"/>
      <c r="AG109" s="381"/>
      <c r="AH109" s="381"/>
      <c r="AI109" s="381"/>
      <c r="AJ109" s="381"/>
      <c r="AK109" s="381"/>
      <c r="AL109" s="381"/>
      <c r="AM109" s="381"/>
      <c r="AN109" s="381"/>
      <c r="AO109" s="381"/>
      <c r="AP109" s="381"/>
      <c r="AQ109" s="381"/>
      <c r="AR109" s="381"/>
      <c r="AS109" s="381"/>
      <c r="AT109" s="381"/>
      <c r="AU109" s="381"/>
    </row>
    <row r="110" spans="1:47" s="382" customFormat="1" ht="18" customHeight="1" x14ac:dyDescent="0.45">
      <c r="A110" s="441"/>
      <c r="B110" s="858"/>
      <c r="C110" s="383" t="s">
        <v>290</v>
      </c>
      <c r="D110" s="384" t="s">
        <v>302</v>
      </c>
      <c r="E110" s="858"/>
      <c r="F110" s="690">
        <v>0</v>
      </c>
      <c r="G110" s="385">
        <v>15</v>
      </c>
      <c r="H110" s="861"/>
      <c r="I110" s="390"/>
      <c r="J110" s="391"/>
      <c r="K110" s="392">
        <f t="shared" si="9"/>
        <v>0</v>
      </c>
      <c r="L110" s="389"/>
      <c r="M110" s="877"/>
      <c r="N110" s="880"/>
      <c r="O110" s="901"/>
      <c r="P110" s="883"/>
      <c r="Q110" s="872"/>
      <c r="R110" s="378"/>
      <c r="S110" s="808"/>
      <c r="T110" s="809"/>
      <c r="U110" s="809"/>
      <c r="V110" s="809"/>
      <c r="W110" s="809"/>
      <c r="X110" s="809"/>
      <c r="Y110" s="810"/>
      <c r="Z110" s="379"/>
      <c r="AA110" s="381"/>
      <c r="AB110" s="381"/>
      <c r="AC110" s="381"/>
      <c r="AD110" s="381"/>
      <c r="AE110" s="381"/>
      <c r="AF110" s="381"/>
      <c r="AG110" s="381"/>
      <c r="AH110" s="381"/>
      <c r="AI110" s="381"/>
      <c r="AJ110" s="381"/>
      <c r="AK110" s="381"/>
      <c r="AL110" s="381"/>
      <c r="AM110" s="381"/>
      <c r="AN110" s="381"/>
      <c r="AO110" s="381"/>
      <c r="AP110" s="381"/>
      <c r="AQ110" s="381"/>
      <c r="AR110" s="381"/>
      <c r="AS110" s="381"/>
      <c r="AT110" s="381"/>
      <c r="AU110" s="381"/>
    </row>
    <row r="111" spans="1:47" s="382" customFormat="1" ht="18" customHeight="1" x14ac:dyDescent="0.45">
      <c r="A111" s="441"/>
      <c r="B111" s="858"/>
      <c r="C111" s="383" t="s">
        <v>292</v>
      </c>
      <c r="D111" s="384" t="s">
        <v>303</v>
      </c>
      <c r="E111" s="859"/>
      <c r="F111" s="690">
        <v>0</v>
      </c>
      <c r="G111" s="385">
        <v>25</v>
      </c>
      <c r="H111" s="862"/>
      <c r="I111" s="446"/>
      <c r="J111" s="394"/>
      <c r="K111" s="395">
        <f t="shared" si="9"/>
        <v>0</v>
      </c>
      <c r="L111" s="389"/>
      <c r="M111" s="877"/>
      <c r="N111" s="880"/>
      <c r="O111" s="901"/>
      <c r="P111" s="883"/>
      <c r="Q111" s="872"/>
      <c r="R111" s="378"/>
      <c r="S111" s="808"/>
      <c r="T111" s="809"/>
      <c r="U111" s="809"/>
      <c r="V111" s="809"/>
      <c r="W111" s="809"/>
      <c r="X111" s="809"/>
      <c r="Y111" s="810"/>
      <c r="Z111" s="379"/>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row>
    <row r="112" spans="1:47" s="382" customFormat="1" ht="18" customHeight="1" thickBot="1" x14ac:dyDescent="0.5">
      <c r="A112" s="441"/>
      <c r="B112" s="421" t="s">
        <v>304</v>
      </c>
      <c r="C112" s="885" t="s">
        <v>305</v>
      </c>
      <c r="D112" s="886"/>
      <c r="E112" s="397">
        <f>IF(SUM(F113:F115)&lt;AA112,0,IF(SUM(F113:F115)&gt;100,100,SUM(F113:F115)))</f>
        <v>0</v>
      </c>
      <c r="F112" s="449"/>
      <c r="G112" s="399">
        <f>SUM(G113:G115)</f>
        <v>100</v>
      </c>
      <c r="H112" s="400">
        <v>2</v>
      </c>
      <c r="I112" s="401">
        <f>ROUND(E112*H112,0)</f>
        <v>0</v>
      </c>
      <c r="J112" s="447">
        <f>G112*H112</f>
        <v>200</v>
      </c>
      <c r="K112" s="404">
        <f>ROUND(I112/J112,3)</f>
        <v>0</v>
      </c>
      <c r="L112" s="377">
        <f>J112/N$96*P$96</f>
        <v>1.8072289156626505E-2</v>
      </c>
      <c r="M112" s="877"/>
      <c r="N112" s="880"/>
      <c r="O112" s="901"/>
      <c r="P112" s="883"/>
      <c r="Q112" s="872"/>
      <c r="R112" s="378"/>
      <c r="S112" s="808"/>
      <c r="T112" s="809"/>
      <c r="U112" s="809"/>
      <c r="V112" s="809"/>
      <c r="W112" s="809"/>
      <c r="X112" s="809"/>
      <c r="Y112" s="810"/>
      <c r="Z112" s="379"/>
      <c r="AA112" s="380">
        <v>15</v>
      </c>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row>
    <row r="113" spans="1:47" s="382" customFormat="1" ht="18" customHeight="1" x14ac:dyDescent="0.45">
      <c r="A113" s="441"/>
      <c r="B113" s="857"/>
      <c r="C113" s="383" t="s">
        <v>238</v>
      </c>
      <c r="D113" s="384" t="s">
        <v>306</v>
      </c>
      <c r="E113" s="857"/>
      <c r="F113" s="690">
        <v>0</v>
      </c>
      <c r="G113" s="385">
        <v>40</v>
      </c>
      <c r="H113" s="860"/>
      <c r="I113" s="386"/>
      <c r="J113" s="387"/>
      <c r="K113" s="392">
        <f t="shared" ref="K113:K115" si="10">ROUND(F113/G113,3)</f>
        <v>0</v>
      </c>
      <c r="L113" s="389"/>
      <c r="M113" s="877"/>
      <c r="N113" s="880"/>
      <c r="O113" s="901"/>
      <c r="P113" s="883"/>
      <c r="Q113" s="872"/>
      <c r="R113" s="378"/>
      <c r="S113" s="808"/>
      <c r="T113" s="809"/>
      <c r="U113" s="809"/>
      <c r="V113" s="809"/>
      <c r="W113" s="809"/>
      <c r="X113" s="809"/>
      <c r="Y113" s="810"/>
      <c r="Z113" s="379"/>
      <c r="AA113" s="381"/>
      <c r="AB113" s="381"/>
      <c r="AC113" s="381"/>
      <c r="AD113" s="381"/>
      <c r="AE113" s="381"/>
      <c r="AF113" s="381"/>
      <c r="AG113" s="381"/>
      <c r="AH113" s="381"/>
      <c r="AI113" s="381"/>
      <c r="AJ113" s="381"/>
      <c r="AK113" s="381"/>
      <c r="AL113" s="381"/>
      <c r="AM113" s="381"/>
      <c r="AN113" s="381"/>
      <c r="AO113" s="381"/>
      <c r="AP113" s="381"/>
      <c r="AQ113" s="381"/>
      <c r="AR113" s="381"/>
      <c r="AS113" s="381"/>
      <c r="AT113" s="381"/>
      <c r="AU113" s="381"/>
    </row>
    <row r="114" spans="1:47" s="382" customFormat="1" ht="18" customHeight="1" x14ac:dyDescent="0.45">
      <c r="A114" s="441"/>
      <c r="B114" s="858"/>
      <c r="C114" s="383" t="s">
        <v>240</v>
      </c>
      <c r="D114" s="384" t="s">
        <v>307</v>
      </c>
      <c r="E114" s="858"/>
      <c r="F114" s="690">
        <v>0</v>
      </c>
      <c r="G114" s="385">
        <v>40</v>
      </c>
      <c r="H114" s="861"/>
      <c r="I114" s="390"/>
      <c r="J114" s="391"/>
      <c r="K114" s="392">
        <f t="shared" si="10"/>
        <v>0</v>
      </c>
      <c r="L114" s="389"/>
      <c r="M114" s="877"/>
      <c r="N114" s="880"/>
      <c r="O114" s="901"/>
      <c r="P114" s="883"/>
      <c r="Q114" s="872"/>
      <c r="R114" s="378"/>
      <c r="S114" s="808"/>
      <c r="T114" s="809"/>
      <c r="U114" s="809"/>
      <c r="V114" s="809"/>
      <c r="W114" s="809"/>
      <c r="X114" s="809"/>
      <c r="Y114" s="810"/>
      <c r="Z114" s="379"/>
      <c r="AA114" s="381"/>
      <c r="AB114" s="381"/>
      <c r="AC114" s="381"/>
      <c r="AD114" s="381"/>
      <c r="AE114" s="381"/>
      <c r="AF114" s="381"/>
      <c r="AG114" s="381"/>
      <c r="AH114" s="381"/>
      <c r="AI114" s="381"/>
      <c r="AJ114" s="381"/>
      <c r="AK114" s="381"/>
      <c r="AL114" s="381"/>
      <c r="AM114" s="381"/>
      <c r="AN114" s="381"/>
      <c r="AO114" s="381"/>
      <c r="AP114" s="381"/>
      <c r="AQ114" s="381"/>
      <c r="AR114" s="381"/>
      <c r="AS114" s="381"/>
      <c r="AT114" s="381"/>
      <c r="AU114" s="381"/>
    </row>
    <row r="115" spans="1:47" s="382" customFormat="1" ht="18" customHeight="1" x14ac:dyDescent="0.45">
      <c r="A115" s="441"/>
      <c r="B115" s="858"/>
      <c r="C115" s="383" t="s">
        <v>246</v>
      </c>
      <c r="D115" s="384" t="s">
        <v>308</v>
      </c>
      <c r="E115" s="858"/>
      <c r="F115" s="690">
        <v>0</v>
      </c>
      <c r="G115" s="385">
        <v>20</v>
      </c>
      <c r="H115" s="861"/>
      <c r="I115" s="390"/>
      <c r="J115" s="391"/>
      <c r="K115" s="392">
        <f t="shared" si="10"/>
        <v>0</v>
      </c>
      <c r="L115" s="389"/>
      <c r="M115" s="877"/>
      <c r="N115" s="880"/>
      <c r="O115" s="901"/>
      <c r="P115" s="883"/>
      <c r="Q115" s="872"/>
      <c r="R115" s="378"/>
      <c r="S115" s="808"/>
      <c r="T115" s="809"/>
      <c r="U115" s="809"/>
      <c r="V115" s="809"/>
      <c r="W115" s="809"/>
      <c r="X115" s="809"/>
      <c r="Y115" s="810"/>
      <c r="Z115" s="379"/>
      <c r="AA115" s="381"/>
      <c r="AB115" s="381"/>
      <c r="AC115" s="381"/>
      <c r="AD115" s="381"/>
      <c r="AE115" s="381"/>
      <c r="AF115" s="381"/>
      <c r="AG115" s="381"/>
      <c r="AH115" s="381"/>
      <c r="AI115" s="381"/>
      <c r="AJ115" s="381"/>
      <c r="AK115" s="381"/>
      <c r="AL115" s="381"/>
      <c r="AM115" s="381"/>
      <c r="AN115" s="381"/>
      <c r="AO115" s="381"/>
      <c r="AP115" s="381"/>
      <c r="AQ115" s="381"/>
      <c r="AR115" s="381"/>
      <c r="AS115" s="381"/>
      <c r="AT115" s="381"/>
      <c r="AU115" s="381"/>
    </row>
    <row r="116" spans="1:47" s="382" customFormat="1" ht="18" customHeight="1" thickBot="1" x14ac:dyDescent="0.5">
      <c r="A116" s="441"/>
      <c r="B116" s="421" t="s">
        <v>309</v>
      </c>
      <c r="C116" s="885" t="s">
        <v>821</v>
      </c>
      <c r="D116" s="886"/>
      <c r="E116" s="440">
        <f>IF(SUM(F117:F128)&lt;AA116,0,IF(SUM(F117:F128)&gt;100,100,SUM(F117:F128)))</f>
        <v>0</v>
      </c>
      <c r="F116" s="449"/>
      <c r="G116" s="399">
        <f>SUM(G117:G128)</f>
        <v>95</v>
      </c>
      <c r="H116" s="399">
        <v>2</v>
      </c>
      <c r="I116" s="401">
        <f>ROUND(E116*H116,0)</f>
        <v>0</v>
      </c>
      <c r="J116" s="447">
        <f>G116*H116</f>
        <v>190</v>
      </c>
      <c r="K116" s="404">
        <f>ROUND(I116/J116,3)</f>
        <v>0</v>
      </c>
      <c r="L116" s="377">
        <f>J116/N$96*P$96</f>
        <v>1.7168674698795183E-2</v>
      </c>
      <c r="M116" s="877"/>
      <c r="N116" s="880"/>
      <c r="O116" s="901"/>
      <c r="P116" s="883"/>
      <c r="Q116" s="872"/>
      <c r="R116" s="378"/>
      <c r="S116" s="808"/>
      <c r="T116" s="809"/>
      <c r="U116" s="809"/>
      <c r="V116" s="809"/>
      <c r="W116" s="809"/>
      <c r="X116" s="809"/>
      <c r="Y116" s="810"/>
      <c r="Z116" s="450"/>
      <c r="AA116" s="380">
        <v>10</v>
      </c>
      <c r="AB116" s="381"/>
      <c r="AC116" s="381"/>
      <c r="AD116" s="381"/>
      <c r="AE116" s="381"/>
      <c r="AF116" s="381"/>
      <c r="AG116" s="381"/>
      <c r="AH116" s="381"/>
      <c r="AI116" s="381"/>
      <c r="AJ116" s="381"/>
      <c r="AK116" s="381"/>
      <c r="AL116" s="381"/>
      <c r="AM116" s="381"/>
      <c r="AN116" s="381"/>
      <c r="AO116" s="381"/>
      <c r="AP116" s="381"/>
      <c r="AQ116" s="381"/>
      <c r="AR116" s="381"/>
      <c r="AS116" s="381"/>
      <c r="AT116" s="381"/>
      <c r="AU116" s="381"/>
    </row>
    <row r="117" spans="1:47" s="382" customFormat="1" ht="18" customHeight="1" x14ac:dyDescent="0.45">
      <c r="A117" s="441"/>
      <c r="B117" s="858"/>
      <c r="C117" s="383" t="s">
        <v>253</v>
      </c>
      <c r="D117" s="384" t="s">
        <v>310</v>
      </c>
      <c r="E117" s="903"/>
      <c r="F117" s="690">
        <v>0</v>
      </c>
      <c r="G117" s="385">
        <v>7.5</v>
      </c>
      <c r="H117" s="861"/>
      <c r="I117" s="390"/>
      <c r="J117" s="451"/>
      <c r="K117" s="392"/>
      <c r="L117" s="389"/>
      <c r="M117" s="877"/>
      <c r="N117" s="880"/>
      <c r="O117" s="901"/>
      <c r="P117" s="883"/>
      <c r="Q117" s="872"/>
      <c r="R117" s="378"/>
      <c r="S117" s="808"/>
      <c r="T117" s="809"/>
      <c r="U117" s="809"/>
      <c r="V117" s="809"/>
      <c r="W117" s="809"/>
      <c r="X117" s="809"/>
      <c r="Y117" s="810"/>
      <c r="Z117" s="379"/>
      <c r="AA117" s="452"/>
      <c r="AB117" s="381"/>
      <c r="AC117" s="381"/>
      <c r="AD117" s="381"/>
      <c r="AE117" s="381"/>
      <c r="AF117" s="381"/>
      <c r="AG117" s="381"/>
      <c r="AH117" s="381"/>
      <c r="AI117" s="381"/>
      <c r="AJ117" s="381"/>
      <c r="AK117" s="381"/>
      <c r="AL117" s="381"/>
      <c r="AM117" s="381"/>
      <c r="AN117" s="381"/>
      <c r="AO117" s="381"/>
      <c r="AP117" s="381"/>
      <c r="AQ117" s="381"/>
      <c r="AR117" s="381"/>
      <c r="AS117" s="381"/>
      <c r="AT117" s="381"/>
      <c r="AU117" s="381"/>
    </row>
    <row r="118" spans="1:47" s="382" customFormat="1" ht="18" customHeight="1" x14ac:dyDescent="0.45">
      <c r="A118" s="441"/>
      <c r="B118" s="858"/>
      <c r="C118" s="383" t="s">
        <v>265</v>
      </c>
      <c r="D118" s="384" t="s">
        <v>311</v>
      </c>
      <c r="E118" s="903"/>
      <c r="F118" s="690">
        <v>0</v>
      </c>
      <c r="G118" s="385">
        <v>7.5</v>
      </c>
      <c r="H118" s="861"/>
      <c r="I118" s="390"/>
      <c r="J118" s="451"/>
      <c r="K118" s="392"/>
      <c r="L118" s="389"/>
      <c r="M118" s="877"/>
      <c r="N118" s="880"/>
      <c r="O118" s="901"/>
      <c r="P118" s="883"/>
      <c r="Q118" s="872"/>
      <c r="R118" s="378"/>
      <c r="S118" s="808"/>
      <c r="T118" s="809"/>
      <c r="U118" s="809"/>
      <c r="V118" s="809"/>
      <c r="W118" s="809"/>
      <c r="X118" s="809"/>
      <c r="Y118" s="810"/>
      <c r="Z118" s="379"/>
      <c r="AA118" s="452"/>
      <c r="AB118" s="381"/>
      <c r="AC118" s="381"/>
      <c r="AD118" s="381"/>
      <c r="AE118" s="381"/>
      <c r="AF118" s="381"/>
      <c r="AG118" s="381"/>
      <c r="AH118" s="381"/>
      <c r="AI118" s="381"/>
      <c r="AJ118" s="381"/>
      <c r="AK118" s="381"/>
      <c r="AL118" s="381"/>
      <c r="AM118" s="381"/>
      <c r="AN118" s="381"/>
      <c r="AO118" s="381"/>
      <c r="AP118" s="381"/>
      <c r="AQ118" s="381"/>
      <c r="AR118" s="381"/>
      <c r="AS118" s="381"/>
      <c r="AT118" s="381"/>
      <c r="AU118" s="381"/>
    </row>
    <row r="119" spans="1:47" s="382" customFormat="1" ht="18" customHeight="1" x14ac:dyDescent="0.45">
      <c r="A119" s="441"/>
      <c r="B119" s="858"/>
      <c r="C119" s="383" t="s">
        <v>281</v>
      </c>
      <c r="D119" s="384" t="s">
        <v>312</v>
      </c>
      <c r="E119" s="903"/>
      <c r="F119" s="690">
        <v>0</v>
      </c>
      <c r="G119" s="385">
        <v>5</v>
      </c>
      <c r="H119" s="861"/>
      <c r="I119" s="390"/>
      <c r="J119" s="451"/>
      <c r="K119" s="392"/>
      <c r="L119" s="389"/>
      <c r="M119" s="877"/>
      <c r="N119" s="880"/>
      <c r="O119" s="901"/>
      <c r="P119" s="883"/>
      <c r="Q119" s="872"/>
      <c r="R119" s="378"/>
      <c r="S119" s="808"/>
      <c r="T119" s="809"/>
      <c r="U119" s="809"/>
      <c r="V119" s="809"/>
      <c r="W119" s="809"/>
      <c r="X119" s="809"/>
      <c r="Y119" s="810"/>
      <c r="Z119" s="379"/>
      <c r="AA119" s="452"/>
      <c r="AB119" s="381"/>
      <c r="AC119" s="381"/>
      <c r="AD119" s="381"/>
      <c r="AE119" s="381"/>
      <c r="AF119" s="381"/>
      <c r="AG119" s="381"/>
      <c r="AH119" s="381"/>
      <c r="AI119" s="381"/>
      <c r="AJ119" s="381"/>
      <c r="AK119" s="381"/>
      <c r="AL119" s="381"/>
      <c r="AM119" s="381"/>
      <c r="AN119" s="381"/>
      <c r="AO119" s="381"/>
      <c r="AP119" s="381"/>
      <c r="AQ119" s="381"/>
      <c r="AR119" s="381"/>
      <c r="AS119" s="381"/>
      <c r="AT119" s="381"/>
      <c r="AU119" s="381"/>
    </row>
    <row r="120" spans="1:47" s="382" customFormat="1" ht="18" customHeight="1" x14ac:dyDescent="0.45">
      <c r="A120" s="441"/>
      <c r="B120" s="858"/>
      <c r="C120" s="383" t="s">
        <v>313</v>
      </c>
      <c r="D120" s="384" t="s">
        <v>314</v>
      </c>
      <c r="E120" s="903"/>
      <c r="F120" s="690">
        <v>0</v>
      </c>
      <c r="G120" s="385">
        <v>5</v>
      </c>
      <c r="H120" s="861"/>
      <c r="I120" s="390"/>
      <c r="J120" s="451"/>
      <c r="K120" s="392"/>
      <c r="L120" s="389"/>
      <c r="M120" s="877"/>
      <c r="N120" s="880"/>
      <c r="O120" s="901"/>
      <c r="P120" s="883"/>
      <c r="Q120" s="872"/>
      <c r="R120" s="378"/>
      <c r="S120" s="808"/>
      <c r="T120" s="809"/>
      <c r="U120" s="809"/>
      <c r="V120" s="809"/>
      <c r="W120" s="809"/>
      <c r="X120" s="809"/>
      <c r="Y120" s="810"/>
      <c r="Z120" s="379"/>
      <c r="AA120" s="452"/>
      <c r="AB120" s="381"/>
      <c r="AC120" s="381"/>
      <c r="AD120" s="381"/>
      <c r="AE120" s="381"/>
      <c r="AF120" s="381"/>
      <c r="AG120" s="381"/>
      <c r="AH120" s="381"/>
      <c r="AI120" s="381"/>
      <c r="AJ120" s="381"/>
      <c r="AK120" s="381"/>
      <c r="AL120" s="381"/>
      <c r="AM120" s="381"/>
      <c r="AN120" s="381"/>
      <c r="AO120" s="381"/>
      <c r="AP120" s="381"/>
      <c r="AQ120" s="381"/>
      <c r="AR120" s="381"/>
      <c r="AS120" s="381"/>
      <c r="AT120" s="381"/>
      <c r="AU120" s="381"/>
    </row>
    <row r="121" spans="1:47" s="382" customFormat="1" ht="18" customHeight="1" x14ac:dyDescent="0.45">
      <c r="A121" s="441"/>
      <c r="B121" s="858"/>
      <c r="C121" s="383" t="s">
        <v>315</v>
      </c>
      <c r="D121" s="384" t="s">
        <v>316</v>
      </c>
      <c r="E121" s="903"/>
      <c r="F121" s="690">
        <v>0</v>
      </c>
      <c r="G121" s="385">
        <v>5</v>
      </c>
      <c r="H121" s="861"/>
      <c r="I121" s="390"/>
      <c r="J121" s="451"/>
      <c r="K121" s="392"/>
      <c r="L121" s="389"/>
      <c r="M121" s="877"/>
      <c r="N121" s="880"/>
      <c r="O121" s="901"/>
      <c r="P121" s="883"/>
      <c r="Q121" s="872"/>
      <c r="R121" s="378"/>
      <c r="S121" s="808"/>
      <c r="T121" s="809"/>
      <c r="U121" s="809"/>
      <c r="V121" s="809"/>
      <c r="W121" s="809"/>
      <c r="X121" s="809"/>
      <c r="Y121" s="810"/>
      <c r="Z121" s="379"/>
      <c r="AA121" s="452"/>
      <c r="AB121" s="381"/>
      <c r="AC121" s="381"/>
      <c r="AD121" s="381"/>
      <c r="AE121" s="381"/>
      <c r="AF121" s="381"/>
      <c r="AG121" s="381"/>
      <c r="AH121" s="381"/>
      <c r="AI121" s="381"/>
      <c r="AJ121" s="381"/>
      <c r="AK121" s="381"/>
      <c r="AL121" s="381"/>
      <c r="AM121" s="381"/>
      <c r="AN121" s="381"/>
      <c r="AO121" s="381"/>
      <c r="AP121" s="381"/>
      <c r="AQ121" s="381"/>
      <c r="AR121" s="381"/>
      <c r="AS121" s="381"/>
      <c r="AT121" s="381"/>
      <c r="AU121" s="381"/>
    </row>
    <row r="122" spans="1:47" s="382" customFormat="1" ht="36" customHeight="1" x14ac:dyDescent="0.45">
      <c r="A122" s="441"/>
      <c r="B122" s="858"/>
      <c r="C122" s="383" t="s">
        <v>317</v>
      </c>
      <c r="D122" s="384" t="s">
        <v>318</v>
      </c>
      <c r="E122" s="903"/>
      <c r="F122" s="690">
        <v>0</v>
      </c>
      <c r="G122" s="385">
        <v>5</v>
      </c>
      <c r="H122" s="861"/>
      <c r="I122" s="390"/>
      <c r="J122" s="451"/>
      <c r="K122" s="392"/>
      <c r="L122" s="389"/>
      <c r="M122" s="877"/>
      <c r="N122" s="880"/>
      <c r="O122" s="901"/>
      <c r="P122" s="883"/>
      <c r="Q122" s="872"/>
      <c r="R122" s="378"/>
      <c r="S122" s="808"/>
      <c r="T122" s="809"/>
      <c r="U122" s="809"/>
      <c r="V122" s="809"/>
      <c r="W122" s="809"/>
      <c r="X122" s="809"/>
      <c r="Y122" s="810"/>
      <c r="Z122" s="379"/>
      <c r="AA122" s="452"/>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row>
    <row r="123" spans="1:47" s="382" customFormat="1" ht="18" customHeight="1" x14ac:dyDescent="0.45">
      <c r="A123" s="441"/>
      <c r="B123" s="858"/>
      <c r="C123" s="383" t="s">
        <v>268</v>
      </c>
      <c r="D123" s="384" t="s">
        <v>319</v>
      </c>
      <c r="E123" s="903"/>
      <c r="F123" s="690">
        <v>0</v>
      </c>
      <c r="G123" s="385">
        <v>10</v>
      </c>
      <c r="H123" s="861"/>
      <c r="I123" s="390"/>
      <c r="J123" s="451"/>
      <c r="K123" s="392"/>
      <c r="L123" s="389"/>
      <c r="M123" s="877"/>
      <c r="N123" s="880"/>
      <c r="O123" s="901"/>
      <c r="P123" s="883"/>
      <c r="Q123" s="872"/>
      <c r="R123" s="378"/>
      <c r="S123" s="808"/>
      <c r="T123" s="809"/>
      <c r="U123" s="809"/>
      <c r="V123" s="809"/>
      <c r="W123" s="809"/>
      <c r="X123" s="809"/>
      <c r="Y123" s="810"/>
      <c r="Z123" s="379"/>
      <c r="AA123" s="452"/>
      <c r="AB123" s="381"/>
      <c r="AC123" s="381"/>
      <c r="AD123" s="381"/>
      <c r="AE123" s="381"/>
      <c r="AF123" s="381"/>
      <c r="AG123" s="381"/>
      <c r="AH123" s="381"/>
      <c r="AI123" s="381"/>
      <c r="AJ123" s="381"/>
      <c r="AK123" s="381"/>
      <c r="AL123" s="381"/>
      <c r="AM123" s="381"/>
      <c r="AN123" s="381"/>
      <c r="AO123" s="381"/>
      <c r="AP123" s="381"/>
      <c r="AQ123" s="381"/>
      <c r="AR123" s="381"/>
      <c r="AS123" s="381"/>
      <c r="AT123" s="381"/>
      <c r="AU123" s="381"/>
    </row>
    <row r="124" spans="1:47" s="382" customFormat="1" ht="18" customHeight="1" x14ac:dyDescent="0.45">
      <c r="A124" s="441"/>
      <c r="B124" s="858"/>
      <c r="C124" s="383" t="s">
        <v>285</v>
      </c>
      <c r="D124" s="384" t="s">
        <v>320</v>
      </c>
      <c r="E124" s="903"/>
      <c r="F124" s="690">
        <v>0</v>
      </c>
      <c r="G124" s="385">
        <v>5</v>
      </c>
      <c r="H124" s="861"/>
      <c r="I124" s="390"/>
      <c r="J124" s="451"/>
      <c r="K124" s="392"/>
      <c r="L124" s="389"/>
      <c r="M124" s="877"/>
      <c r="N124" s="880"/>
      <c r="O124" s="901"/>
      <c r="P124" s="883"/>
      <c r="Q124" s="872"/>
      <c r="R124" s="378"/>
      <c r="S124" s="808"/>
      <c r="T124" s="809"/>
      <c r="U124" s="809"/>
      <c r="V124" s="809"/>
      <c r="W124" s="809"/>
      <c r="X124" s="809"/>
      <c r="Y124" s="810"/>
      <c r="Z124" s="379"/>
      <c r="AA124" s="452"/>
      <c r="AB124" s="381"/>
      <c r="AC124" s="381"/>
      <c r="AD124" s="381"/>
      <c r="AE124" s="381"/>
      <c r="AF124" s="381"/>
      <c r="AG124" s="381"/>
      <c r="AH124" s="381"/>
      <c r="AI124" s="381"/>
      <c r="AJ124" s="381"/>
      <c r="AK124" s="381"/>
      <c r="AL124" s="381"/>
      <c r="AM124" s="381"/>
      <c r="AN124" s="381"/>
      <c r="AO124" s="381"/>
      <c r="AP124" s="381"/>
      <c r="AQ124" s="381"/>
      <c r="AR124" s="381"/>
      <c r="AS124" s="381"/>
      <c r="AT124" s="381"/>
      <c r="AU124" s="381"/>
    </row>
    <row r="125" spans="1:47" s="382" customFormat="1" ht="18" customHeight="1" x14ac:dyDescent="0.45">
      <c r="A125" s="441"/>
      <c r="B125" s="858"/>
      <c r="C125" s="383" t="s">
        <v>321</v>
      </c>
      <c r="D125" s="384" t="s">
        <v>322</v>
      </c>
      <c r="E125" s="903"/>
      <c r="F125" s="690">
        <v>0</v>
      </c>
      <c r="G125" s="385">
        <v>10</v>
      </c>
      <c r="H125" s="861"/>
      <c r="I125" s="390"/>
      <c r="J125" s="451"/>
      <c r="K125" s="392"/>
      <c r="L125" s="389"/>
      <c r="M125" s="877"/>
      <c r="N125" s="880"/>
      <c r="O125" s="901"/>
      <c r="P125" s="883"/>
      <c r="Q125" s="872"/>
      <c r="R125" s="378"/>
      <c r="S125" s="808"/>
      <c r="T125" s="809"/>
      <c r="U125" s="809"/>
      <c r="V125" s="809"/>
      <c r="W125" s="809"/>
      <c r="X125" s="809"/>
      <c r="Y125" s="810"/>
      <c r="Z125" s="379"/>
      <c r="AA125" s="452"/>
      <c r="AB125" s="381"/>
      <c r="AC125" s="381"/>
      <c r="AD125" s="381"/>
      <c r="AE125" s="381"/>
      <c r="AF125" s="381"/>
      <c r="AG125" s="381"/>
      <c r="AH125" s="381"/>
      <c r="AI125" s="381"/>
      <c r="AJ125" s="381"/>
      <c r="AK125" s="381"/>
      <c r="AL125" s="381"/>
      <c r="AM125" s="381"/>
      <c r="AN125" s="381"/>
      <c r="AO125" s="381"/>
      <c r="AP125" s="381"/>
      <c r="AQ125" s="381"/>
      <c r="AR125" s="381"/>
      <c r="AS125" s="381"/>
      <c r="AT125" s="381"/>
      <c r="AU125" s="381"/>
    </row>
    <row r="126" spans="1:47" s="382" customFormat="1" ht="18" customHeight="1" x14ac:dyDescent="0.45">
      <c r="A126" s="441"/>
      <c r="B126" s="858"/>
      <c r="C126" s="383" t="s">
        <v>735</v>
      </c>
      <c r="D126" s="384" t="s">
        <v>324</v>
      </c>
      <c r="E126" s="903"/>
      <c r="F126" s="690">
        <v>0</v>
      </c>
      <c r="G126" s="385">
        <v>5</v>
      </c>
      <c r="H126" s="861"/>
      <c r="I126" s="390"/>
      <c r="J126" s="451"/>
      <c r="K126" s="392"/>
      <c r="L126" s="389"/>
      <c r="M126" s="877"/>
      <c r="N126" s="880"/>
      <c r="O126" s="901"/>
      <c r="P126" s="883"/>
      <c r="Q126" s="872"/>
      <c r="R126" s="378"/>
      <c r="S126" s="808"/>
      <c r="T126" s="809"/>
      <c r="U126" s="809"/>
      <c r="V126" s="809"/>
      <c r="W126" s="809"/>
      <c r="X126" s="809"/>
      <c r="Y126" s="810"/>
      <c r="Z126" s="379"/>
      <c r="AA126" s="452"/>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row>
    <row r="127" spans="1:47" s="382" customFormat="1" ht="18" customHeight="1" x14ac:dyDescent="0.45">
      <c r="A127" s="441"/>
      <c r="B127" s="858"/>
      <c r="C127" s="383" t="s">
        <v>323</v>
      </c>
      <c r="D127" s="384" t="s">
        <v>326</v>
      </c>
      <c r="E127" s="903"/>
      <c r="F127" s="690">
        <v>0</v>
      </c>
      <c r="G127" s="385">
        <v>15</v>
      </c>
      <c r="H127" s="861"/>
      <c r="I127" s="390"/>
      <c r="J127" s="451"/>
      <c r="K127" s="392"/>
      <c r="L127" s="389"/>
      <c r="M127" s="877"/>
      <c r="N127" s="880"/>
      <c r="O127" s="901"/>
      <c r="P127" s="883"/>
      <c r="Q127" s="872"/>
      <c r="R127" s="378"/>
      <c r="S127" s="808"/>
      <c r="T127" s="809"/>
      <c r="U127" s="809"/>
      <c r="V127" s="809"/>
      <c r="W127" s="809"/>
      <c r="X127" s="809"/>
      <c r="Y127" s="810"/>
      <c r="Z127" s="379"/>
      <c r="AA127" s="452"/>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row>
    <row r="128" spans="1:47" s="382" customFormat="1" ht="26.1" customHeight="1" x14ac:dyDescent="0.45">
      <c r="A128" s="441"/>
      <c r="B128" s="858"/>
      <c r="C128" s="383" t="s">
        <v>327</v>
      </c>
      <c r="D128" s="384" t="s">
        <v>328</v>
      </c>
      <c r="E128" s="903"/>
      <c r="F128" s="690">
        <v>0</v>
      </c>
      <c r="G128" s="385">
        <v>15</v>
      </c>
      <c r="H128" s="861"/>
      <c r="I128" s="446"/>
      <c r="J128" s="453"/>
      <c r="K128" s="395"/>
      <c r="L128" s="389"/>
      <c r="M128" s="877"/>
      <c r="N128" s="880"/>
      <c r="O128" s="901"/>
      <c r="P128" s="883"/>
      <c r="Q128" s="872"/>
      <c r="R128" s="378"/>
      <c r="S128" s="808"/>
      <c r="T128" s="809"/>
      <c r="U128" s="809"/>
      <c r="V128" s="809"/>
      <c r="W128" s="809"/>
      <c r="X128" s="809"/>
      <c r="Y128" s="810"/>
      <c r="Z128" s="379"/>
      <c r="AA128" s="452"/>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row>
    <row r="129" spans="1:47" s="382" customFormat="1" ht="18" customHeight="1" thickBot="1" x14ac:dyDescent="0.5">
      <c r="A129" s="441"/>
      <c r="B129" s="421" t="s">
        <v>329</v>
      </c>
      <c r="C129" s="885" t="s">
        <v>330</v>
      </c>
      <c r="D129" s="886"/>
      <c r="E129" s="440">
        <f>IF(SUM(F130:F134)&lt;AA129,0,IF(SUM(F130:F134)&gt;100,100,SUM(F130:F134)))</f>
        <v>0</v>
      </c>
      <c r="F129" s="449"/>
      <c r="G129" s="399">
        <v>100</v>
      </c>
      <c r="H129" s="399">
        <v>1</v>
      </c>
      <c r="I129" s="401">
        <f>ROUND(E129*H129,0)</f>
        <v>0</v>
      </c>
      <c r="J129" s="447">
        <f>G129*H129</f>
        <v>100</v>
      </c>
      <c r="K129" s="404">
        <f>ROUND(I129/J129,3)</f>
        <v>0</v>
      </c>
      <c r="L129" s="377">
        <f>J129/N$96*P$96</f>
        <v>9.0361445783132526E-3</v>
      </c>
      <c r="M129" s="877"/>
      <c r="N129" s="880"/>
      <c r="O129" s="901"/>
      <c r="P129" s="883"/>
      <c r="Q129" s="872"/>
      <c r="R129" s="378"/>
      <c r="S129" s="808"/>
      <c r="T129" s="809"/>
      <c r="U129" s="809"/>
      <c r="V129" s="809"/>
      <c r="W129" s="809"/>
      <c r="X129" s="809"/>
      <c r="Y129" s="810"/>
      <c r="Z129" s="450"/>
      <c r="AA129" s="411">
        <v>10</v>
      </c>
      <c r="AB129" s="381"/>
      <c r="AC129" s="381"/>
      <c r="AD129" s="381"/>
      <c r="AE129" s="381"/>
      <c r="AF129" s="381"/>
      <c r="AG129" s="381"/>
      <c r="AH129" s="381"/>
      <c r="AI129" s="381"/>
      <c r="AJ129" s="381"/>
      <c r="AK129" s="381"/>
      <c r="AL129" s="381"/>
      <c r="AM129" s="381"/>
      <c r="AN129" s="381"/>
      <c r="AO129" s="381"/>
      <c r="AP129" s="381"/>
      <c r="AQ129" s="381"/>
      <c r="AR129" s="381"/>
      <c r="AS129" s="381"/>
      <c r="AT129" s="381"/>
      <c r="AU129" s="381"/>
    </row>
    <row r="130" spans="1:47" s="382" customFormat="1" ht="18" customHeight="1" x14ac:dyDescent="0.45">
      <c r="A130" s="441"/>
      <c r="B130" s="857"/>
      <c r="C130" s="383" t="s">
        <v>253</v>
      </c>
      <c r="D130" s="384" t="s">
        <v>822</v>
      </c>
      <c r="E130" s="903"/>
      <c r="F130" s="690">
        <v>0</v>
      </c>
      <c r="G130" s="385">
        <v>20</v>
      </c>
      <c r="H130" s="860"/>
      <c r="I130" s="386"/>
      <c r="J130" s="387"/>
      <c r="K130" s="388"/>
      <c r="L130" s="389"/>
      <c r="M130" s="877"/>
      <c r="N130" s="880"/>
      <c r="O130" s="901"/>
      <c r="P130" s="883"/>
      <c r="Q130" s="872"/>
      <c r="R130" s="378"/>
      <c r="S130" s="808"/>
      <c r="T130" s="809"/>
      <c r="U130" s="809"/>
      <c r="V130" s="809"/>
      <c r="W130" s="809"/>
      <c r="X130" s="809"/>
      <c r="Y130" s="810"/>
      <c r="Z130" s="379"/>
      <c r="AA130" s="381"/>
      <c r="AB130" s="381"/>
      <c r="AC130" s="381"/>
      <c r="AD130" s="381"/>
      <c r="AE130" s="381"/>
      <c r="AF130" s="381"/>
      <c r="AG130" s="381"/>
      <c r="AH130" s="381"/>
      <c r="AI130" s="381"/>
      <c r="AJ130" s="381"/>
      <c r="AK130" s="381"/>
      <c r="AL130" s="381"/>
      <c r="AM130" s="381"/>
      <c r="AN130" s="381"/>
      <c r="AO130" s="381"/>
      <c r="AP130" s="381"/>
      <c r="AQ130" s="381"/>
      <c r="AR130" s="381"/>
      <c r="AS130" s="381"/>
      <c r="AT130" s="381"/>
      <c r="AU130" s="381"/>
    </row>
    <row r="131" spans="1:47" s="382" customFormat="1" ht="18" customHeight="1" x14ac:dyDescent="0.45">
      <c r="A131" s="441"/>
      <c r="B131" s="858"/>
      <c r="C131" s="383" t="s">
        <v>265</v>
      </c>
      <c r="D131" s="384" t="s">
        <v>823</v>
      </c>
      <c r="E131" s="903"/>
      <c r="F131" s="690">
        <v>0</v>
      </c>
      <c r="G131" s="385">
        <v>20</v>
      </c>
      <c r="H131" s="861"/>
      <c r="I131" s="390"/>
      <c r="J131" s="391"/>
      <c r="K131" s="392"/>
      <c r="L131" s="389"/>
      <c r="M131" s="877"/>
      <c r="N131" s="880"/>
      <c r="O131" s="901"/>
      <c r="P131" s="883"/>
      <c r="Q131" s="872"/>
      <c r="R131" s="378"/>
      <c r="S131" s="808"/>
      <c r="T131" s="809"/>
      <c r="U131" s="809"/>
      <c r="V131" s="809"/>
      <c r="W131" s="809"/>
      <c r="X131" s="809"/>
      <c r="Y131" s="810"/>
      <c r="Z131" s="379"/>
      <c r="AA131" s="381"/>
      <c r="AB131" s="381"/>
      <c r="AC131" s="381"/>
      <c r="AD131" s="381"/>
      <c r="AE131" s="381"/>
      <c r="AF131" s="381"/>
      <c r="AG131" s="381"/>
      <c r="AH131" s="381"/>
      <c r="AI131" s="381"/>
      <c r="AJ131" s="381"/>
      <c r="AK131" s="381"/>
      <c r="AL131" s="381"/>
      <c r="AM131" s="381"/>
      <c r="AN131" s="381"/>
      <c r="AO131" s="381"/>
      <c r="AP131" s="381"/>
      <c r="AQ131" s="381"/>
      <c r="AR131" s="381"/>
      <c r="AS131" s="381"/>
      <c r="AT131" s="381"/>
      <c r="AU131" s="381"/>
    </row>
    <row r="132" spans="1:47" s="382" customFormat="1" ht="18" customHeight="1" x14ac:dyDescent="0.45">
      <c r="A132" s="441"/>
      <c r="B132" s="858"/>
      <c r="C132" s="383" t="s">
        <v>281</v>
      </c>
      <c r="D132" s="384" t="s">
        <v>824</v>
      </c>
      <c r="E132" s="903"/>
      <c r="F132" s="690">
        <v>0</v>
      </c>
      <c r="G132" s="385">
        <v>20</v>
      </c>
      <c r="H132" s="861"/>
      <c r="I132" s="390"/>
      <c r="J132" s="391"/>
      <c r="K132" s="392"/>
      <c r="L132" s="389"/>
      <c r="M132" s="877"/>
      <c r="N132" s="880"/>
      <c r="O132" s="901"/>
      <c r="P132" s="883"/>
      <c r="Q132" s="872"/>
      <c r="R132" s="378"/>
      <c r="S132" s="808"/>
      <c r="T132" s="809"/>
      <c r="U132" s="809"/>
      <c r="V132" s="809"/>
      <c r="W132" s="809"/>
      <c r="X132" s="809"/>
      <c r="Y132" s="810"/>
      <c r="Z132" s="379"/>
      <c r="AA132" s="381"/>
      <c r="AB132" s="381"/>
      <c r="AC132" s="381"/>
      <c r="AD132" s="381"/>
      <c r="AE132" s="381"/>
      <c r="AF132" s="381"/>
      <c r="AG132" s="381"/>
      <c r="AH132" s="381"/>
      <c r="AI132" s="381"/>
      <c r="AJ132" s="381"/>
      <c r="AK132" s="381"/>
      <c r="AL132" s="381"/>
      <c r="AM132" s="381"/>
      <c r="AN132" s="381"/>
      <c r="AO132" s="381"/>
      <c r="AP132" s="381"/>
      <c r="AQ132" s="381"/>
      <c r="AR132" s="381"/>
      <c r="AS132" s="381"/>
      <c r="AT132" s="381"/>
      <c r="AU132" s="381"/>
    </row>
    <row r="133" spans="1:47" s="382" customFormat="1" ht="18" customHeight="1" x14ac:dyDescent="0.45">
      <c r="A133" s="441"/>
      <c r="B133" s="858"/>
      <c r="C133" s="383" t="s">
        <v>282</v>
      </c>
      <c r="D133" s="384" t="s">
        <v>825</v>
      </c>
      <c r="E133" s="903"/>
      <c r="F133" s="690">
        <v>0</v>
      </c>
      <c r="G133" s="385">
        <v>20</v>
      </c>
      <c r="H133" s="861"/>
      <c r="I133" s="390"/>
      <c r="J133" s="391"/>
      <c r="K133" s="392"/>
      <c r="L133" s="389"/>
      <c r="M133" s="877"/>
      <c r="N133" s="880"/>
      <c r="O133" s="901"/>
      <c r="P133" s="883"/>
      <c r="Q133" s="872"/>
      <c r="R133" s="378"/>
      <c r="S133" s="691"/>
      <c r="T133" s="692"/>
      <c r="U133" s="692"/>
      <c r="V133" s="692"/>
      <c r="W133" s="692"/>
      <c r="X133" s="692"/>
      <c r="Y133" s="693"/>
      <c r="Z133" s="379"/>
      <c r="AA133" s="381"/>
      <c r="AB133" s="381"/>
      <c r="AC133" s="381"/>
      <c r="AD133" s="381"/>
      <c r="AE133" s="381"/>
      <c r="AF133" s="381"/>
      <c r="AG133" s="381"/>
      <c r="AH133" s="381"/>
      <c r="AI133" s="381"/>
      <c r="AJ133" s="381"/>
      <c r="AK133" s="381"/>
      <c r="AL133" s="381"/>
      <c r="AM133" s="381"/>
      <c r="AN133" s="381"/>
      <c r="AO133" s="381"/>
      <c r="AP133" s="381"/>
      <c r="AQ133" s="381"/>
      <c r="AR133" s="381"/>
      <c r="AS133" s="381"/>
      <c r="AT133" s="381"/>
      <c r="AU133" s="381"/>
    </row>
    <row r="134" spans="1:47" s="382" customFormat="1" ht="18" customHeight="1" x14ac:dyDescent="0.45">
      <c r="A134" s="441"/>
      <c r="B134" s="858"/>
      <c r="C134" s="445" t="s">
        <v>313</v>
      </c>
      <c r="D134" s="427" t="s">
        <v>332</v>
      </c>
      <c r="E134" s="903"/>
      <c r="F134" s="696">
        <v>0</v>
      </c>
      <c r="G134" s="428">
        <v>20</v>
      </c>
      <c r="H134" s="861"/>
      <c r="I134" s="390"/>
      <c r="J134" s="391"/>
      <c r="K134" s="392"/>
      <c r="L134" s="389"/>
      <c r="M134" s="877"/>
      <c r="N134" s="880"/>
      <c r="O134" s="901"/>
      <c r="P134" s="883"/>
      <c r="Q134" s="872"/>
      <c r="R134" s="378"/>
      <c r="S134" s="808"/>
      <c r="T134" s="809"/>
      <c r="U134" s="809"/>
      <c r="V134" s="809"/>
      <c r="W134" s="809"/>
      <c r="X134" s="809"/>
      <c r="Y134" s="810"/>
      <c r="Z134" s="379"/>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381"/>
    </row>
    <row r="135" spans="1:47" s="382" customFormat="1" ht="18" customHeight="1" thickBot="1" x14ac:dyDescent="0.5">
      <c r="A135" s="441"/>
      <c r="B135" s="421" t="s">
        <v>335</v>
      </c>
      <c r="C135" s="885" t="s">
        <v>336</v>
      </c>
      <c r="D135" s="886"/>
      <c r="E135" s="699">
        <v>0</v>
      </c>
      <c r="F135" s="449"/>
      <c r="G135" s="399">
        <v>100</v>
      </c>
      <c r="H135" s="399">
        <v>3</v>
      </c>
      <c r="I135" s="401">
        <f>ROUND(E135*H135,0)</f>
        <v>0</v>
      </c>
      <c r="J135" s="447">
        <f>G135*H135</f>
        <v>300</v>
      </c>
      <c r="K135" s="404">
        <f t="shared" ref="K135" si="11">ROUND(I135/J135,3)</f>
        <v>0</v>
      </c>
      <c r="L135" s="377">
        <f>J135/N$96*P$96</f>
        <v>2.710843373493976E-2</v>
      </c>
      <c r="M135" s="877"/>
      <c r="N135" s="880"/>
      <c r="O135" s="901"/>
      <c r="P135" s="883"/>
      <c r="Q135" s="872"/>
      <c r="R135" s="378"/>
      <c r="S135" s="808"/>
      <c r="T135" s="809"/>
      <c r="U135" s="809"/>
      <c r="V135" s="809"/>
      <c r="W135" s="809"/>
      <c r="X135" s="809"/>
      <c r="Y135" s="810"/>
      <c r="Z135" s="379"/>
      <c r="AA135" s="411">
        <v>10</v>
      </c>
      <c r="AB135" s="381"/>
      <c r="AC135" s="381"/>
      <c r="AD135" s="381"/>
      <c r="AE135" s="381"/>
      <c r="AF135" s="381"/>
      <c r="AG135" s="381"/>
      <c r="AH135" s="381"/>
      <c r="AI135" s="381"/>
      <c r="AJ135" s="381"/>
      <c r="AK135" s="381"/>
      <c r="AL135" s="381"/>
      <c r="AM135" s="381"/>
      <c r="AN135" s="381"/>
      <c r="AO135" s="381"/>
      <c r="AP135" s="381"/>
      <c r="AQ135" s="381"/>
      <c r="AR135" s="381"/>
      <c r="AS135" s="381"/>
      <c r="AT135" s="381"/>
      <c r="AU135" s="381"/>
    </row>
    <row r="136" spans="1:47" s="382" customFormat="1" ht="18" customHeight="1" thickBot="1" x14ac:dyDescent="0.5">
      <c r="A136" s="441"/>
      <c r="B136" s="454" t="s">
        <v>337</v>
      </c>
      <c r="C136" s="885" t="s">
        <v>338</v>
      </c>
      <c r="D136" s="905"/>
      <c r="E136" s="397">
        <f>IF(SUM(F137:F140)&lt;AA136,0,IF(SUM(F137:F140)&gt;100,100,SUM(F137:F140)))</f>
        <v>0</v>
      </c>
      <c r="F136" s="449"/>
      <c r="G136" s="399">
        <f>SUM(G137:G140)</f>
        <v>100</v>
      </c>
      <c r="H136" s="455">
        <v>1</v>
      </c>
      <c r="I136" s="401">
        <f>ROUND(E136*H136,0)</f>
        <v>0</v>
      </c>
      <c r="J136" s="402">
        <f>G136*H136</f>
        <v>100</v>
      </c>
      <c r="K136" s="456">
        <f>ROUND(I136/J136,3)</f>
        <v>0</v>
      </c>
      <c r="L136" s="377">
        <f>J136/N$96*P$96</f>
        <v>9.0361445783132526E-3</v>
      </c>
      <c r="M136" s="877"/>
      <c r="N136" s="880"/>
      <c r="O136" s="901"/>
      <c r="P136" s="883"/>
      <c r="Q136" s="872"/>
      <c r="R136" s="378"/>
      <c r="S136" s="808"/>
      <c r="T136" s="809"/>
      <c r="U136" s="809"/>
      <c r="V136" s="809"/>
      <c r="W136" s="809"/>
      <c r="X136" s="809"/>
      <c r="Y136" s="810"/>
      <c r="Z136" s="379"/>
      <c r="AA136" s="411">
        <v>10</v>
      </c>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row>
    <row r="137" spans="1:47" s="382" customFormat="1" ht="25.5" x14ac:dyDescent="0.45">
      <c r="A137" s="441"/>
      <c r="B137" s="903"/>
      <c r="C137" s="383" t="s">
        <v>253</v>
      </c>
      <c r="D137" s="427" t="s">
        <v>826</v>
      </c>
      <c r="E137" s="903"/>
      <c r="F137" s="690">
        <v>0</v>
      </c>
      <c r="G137" s="385">
        <v>40</v>
      </c>
      <c r="H137" s="857"/>
      <c r="I137" s="386"/>
      <c r="J137" s="457"/>
      <c r="K137" s="392">
        <f>ROUND(F137/G137,3)</f>
        <v>0</v>
      </c>
      <c r="L137" s="389"/>
      <c r="M137" s="877"/>
      <c r="N137" s="880"/>
      <c r="O137" s="901"/>
      <c r="P137" s="883"/>
      <c r="Q137" s="872"/>
      <c r="R137" s="378"/>
      <c r="S137" s="808"/>
      <c r="T137" s="809"/>
      <c r="U137" s="809"/>
      <c r="V137" s="809"/>
      <c r="W137" s="809"/>
      <c r="X137" s="809"/>
      <c r="Y137" s="810"/>
      <c r="Z137" s="379"/>
      <c r="AA137" s="452"/>
      <c r="AB137" s="458"/>
      <c r="AC137" s="458"/>
      <c r="AD137" s="452"/>
      <c r="AE137" s="381"/>
      <c r="AF137" s="381"/>
      <c r="AG137" s="381"/>
      <c r="AH137" s="381"/>
      <c r="AI137" s="381"/>
      <c r="AJ137" s="381"/>
      <c r="AK137" s="381"/>
      <c r="AL137" s="381"/>
      <c r="AM137" s="381"/>
      <c r="AN137" s="381"/>
      <c r="AO137" s="381"/>
      <c r="AP137" s="381"/>
      <c r="AQ137" s="381"/>
      <c r="AR137" s="381"/>
      <c r="AS137" s="381"/>
      <c r="AT137" s="381"/>
      <c r="AU137" s="381"/>
    </row>
    <row r="138" spans="1:47" s="382" customFormat="1" ht="18" customHeight="1" x14ac:dyDescent="0.45">
      <c r="A138" s="441"/>
      <c r="B138" s="903"/>
      <c r="C138" s="383" t="s">
        <v>339</v>
      </c>
      <c r="D138" s="427" t="s">
        <v>340</v>
      </c>
      <c r="E138" s="903"/>
      <c r="F138" s="690">
        <v>0</v>
      </c>
      <c r="G138" s="385">
        <v>10</v>
      </c>
      <c r="H138" s="858"/>
      <c r="I138" s="390"/>
      <c r="J138" s="451"/>
      <c r="K138" s="392">
        <f>ROUND(F138/G138,3)</f>
        <v>0</v>
      </c>
      <c r="L138" s="389"/>
      <c r="M138" s="877"/>
      <c r="N138" s="880"/>
      <c r="O138" s="901"/>
      <c r="P138" s="883"/>
      <c r="Q138" s="872"/>
      <c r="R138" s="378"/>
      <c r="S138" s="808"/>
      <c r="T138" s="809"/>
      <c r="U138" s="809"/>
      <c r="V138" s="809"/>
      <c r="W138" s="809"/>
      <c r="X138" s="809"/>
      <c r="Y138" s="810"/>
      <c r="Z138" s="379"/>
      <c r="AA138" s="452"/>
      <c r="AB138" s="458"/>
      <c r="AC138" s="458"/>
      <c r="AD138" s="452"/>
      <c r="AE138" s="381"/>
      <c r="AF138" s="381"/>
      <c r="AG138" s="381"/>
      <c r="AH138" s="381"/>
      <c r="AI138" s="381"/>
      <c r="AJ138" s="381"/>
      <c r="AK138" s="381"/>
      <c r="AL138" s="381"/>
      <c r="AM138" s="381"/>
      <c r="AN138" s="381"/>
      <c r="AO138" s="381"/>
      <c r="AP138" s="381"/>
      <c r="AQ138" s="381"/>
      <c r="AR138" s="381"/>
      <c r="AS138" s="381"/>
      <c r="AT138" s="381"/>
      <c r="AU138" s="381"/>
    </row>
    <row r="139" spans="1:47" s="382" customFormat="1" ht="27" customHeight="1" x14ac:dyDescent="0.45">
      <c r="A139" s="441"/>
      <c r="B139" s="903"/>
      <c r="C139" s="383" t="s">
        <v>341</v>
      </c>
      <c r="D139" s="427" t="s">
        <v>827</v>
      </c>
      <c r="E139" s="903"/>
      <c r="F139" s="690">
        <v>0</v>
      </c>
      <c r="G139" s="385">
        <v>20</v>
      </c>
      <c r="H139" s="858"/>
      <c r="I139" s="390"/>
      <c r="J139" s="451"/>
      <c r="K139" s="392">
        <f>ROUND(F139/G139,3)</f>
        <v>0</v>
      </c>
      <c r="L139" s="389"/>
      <c r="M139" s="877"/>
      <c r="N139" s="880"/>
      <c r="O139" s="901"/>
      <c r="P139" s="883"/>
      <c r="Q139" s="872"/>
      <c r="R139" s="378"/>
      <c r="S139" s="808"/>
      <c r="T139" s="809"/>
      <c r="U139" s="809"/>
      <c r="V139" s="809"/>
      <c r="W139" s="809"/>
      <c r="X139" s="809"/>
      <c r="Y139" s="810"/>
      <c r="Z139" s="379"/>
      <c r="AA139" s="452"/>
      <c r="AB139" s="458"/>
      <c r="AC139" s="458"/>
      <c r="AD139" s="452"/>
      <c r="AE139" s="381"/>
      <c r="AF139" s="381"/>
      <c r="AG139" s="381"/>
      <c r="AH139" s="381"/>
      <c r="AI139" s="381"/>
      <c r="AJ139" s="381"/>
      <c r="AK139" s="381"/>
      <c r="AL139" s="381"/>
      <c r="AM139" s="381"/>
      <c r="AN139" s="381"/>
      <c r="AO139" s="381"/>
      <c r="AP139" s="381"/>
      <c r="AQ139" s="381"/>
      <c r="AR139" s="381"/>
      <c r="AS139" s="381"/>
      <c r="AT139" s="381"/>
      <c r="AU139" s="381"/>
    </row>
    <row r="140" spans="1:47" s="382" customFormat="1" ht="18" customHeight="1" x14ac:dyDescent="0.45">
      <c r="A140" s="441"/>
      <c r="B140" s="903"/>
      <c r="C140" s="383" t="s">
        <v>281</v>
      </c>
      <c r="D140" s="384" t="s">
        <v>342</v>
      </c>
      <c r="E140" s="903"/>
      <c r="F140" s="690">
        <v>0</v>
      </c>
      <c r="G140" s="385">
        <v>30</v>
      </c>
      <c r="H140" s="859"/>
      <c r="I140" s="390"/>
      <c r="J140" s="451"/>
      <c r="K140" s="392">
        <f>ROUND(F140/G140,3)</f>
        <v>0</v>
      </c>
      <c r="L140" s="389"/>
      <c r="M140" s="877"/>
      <c r="N140" s="880"/>
      <c r="O140" s="901"/>
      <c r="P140" s="883"/>
      <c r="Q140" s="872"/>
      <c r="R140" s="378"/>
      <c r="S140" s="808"/>
      <c r="T140" s="809"/>
      <c r="U140" s="809"/>
      <c r="V140" s="809"/>
      <c r="W140" s="809"/>
      <c r="X140" s="809"/>
      <c r="Y140" s="810"/>
      <c r="Z140" s="379"/>
      <c r="AA140" s="452"/>
      <c r="AB140" s="458"/>
      <c r="AC140" s="458"/>
      <c r="AD140" s="452"/>
      <c r="AE140" s="381"/>
      <c r="AF140" s="381"/>
      <c r="AG140" s="381"/>
      <c r="AH140" s="381"/>
      <c r="AI140" s="381"/>
      <c r="AJ140" s="381"/>
      <c r="AK140" s="381"/>
      <c r="AL140" s="381"/>
      <c r="AM140" s="381"/>
      <c r="AN140" s="381"/>
      <c r="AO140" s="381"/>
      <c r="AP140" s="381"/>
      <c r="AQ140" s="381"/>
      <c r="AR140" s="381"/>
      <c r="AS140" s="381"/>
      <c r="AT140" s="381"/>
      <c r="AU140" s="381"/>
    </row>
    <row r="141" spans="1:47" s="382" customFormat="1" ht="18" customHeight="1" thickBot="1" x14ac:dyDescent="0.5">
      <c r="A141" s="441"/>
      <c r="B141" s="421" t="s">
        <v>343</v>
      </c>
      <c r="C141" s="874" t="s">
        <v>828</v>
      </c>
      <c r="D141" s="875"/>
      <c r="E141" s="440">
        <f>IF(SUM(F142:F145)&gt;AA141,SUM(F142:F145),IF(SUM(F146:F148)&gt;AA141,SUM(F146:F148),IF(F149=100,F149,F150)))</f>
        <v>0</v>
      </c>
      <c r="F141" s="398"/>
      <c r="G141" s="399">
        <v>100</v>
      </c>
      <c r="H141" s="400">
        <v>3</v>
      </c>
      <c r="I141" s="401">
        <f>ROUND(E141*H141,0)</f>
        <v>0</v>
      </c>
      <c r="J141" s="402">
        <f>G141*H141</f>
        <v>300</v>
      </c>
      <c r="K141" s="403">
        <f>ROUND(I141/J141,3)</f>
        <v>0</v>
      </c>
      <c r="L141" s="377">
        <f>J141/N$96*P$96</f>
        <v>2.710843373493976E-2</v>
      </c>
      <c r="M141" s="877"/>
      <c r="N141" s="880"/>
      <c r="O141" s="901"/>
      <c r="P141" s="883"/>
      <c r="Q141" s="872"/>
      <c r="R141" s="378"/>
      <c r="S141" s="808"/>
      <c r="T141" s="809"/>
      <c r="U141" s="809"/>
      <c r="V141" s="809"/>
      <c r="W141" s="809"/>
      <c r="X141" s="809"/>
      <c r="Y141" s="810"/>
      <c r="Z141" s="379"/>
      <c r="AA141" s="411">
        <v>20</v>
      </c>
      <c r="AB141" s="381"/>
      <c r="AC141" s="381"/>
      <c r="AD141" s="381"/>
      <c r="AE141" s="381"/>
      <c r="AF141" s="381"/>
      <c r="AG141" s="381"/>
      <c r="AH141" s="381"/>
      <c r="AI141" s="381"/>
      <c r="AJ141" s="381"/>
      <c r="AK141" s="381"/>
      <c r="AL141" s="381"/>
      <c r="AM141" s="381"/>
      <c r="AN141" s="381"/>
      <c r="AO141" s="381"/>
      <c r="AP141" s="381"/>
      <c r="AQ141" s="381"/>
      <c r="AR141" s="381"/>
      <c r="AS141" s="381"/>
      <c r="AT141" s="381"/>
      <c r="AU141" s="381"/>
    </row>
    <row r="142" spans="1:47" s="382" customFormat="1" ht="18" customHeight="1" x14ac:dyDescent="0.45">
      <c r="A142" s="441"/>
      <c r="B142" s="903"/>
      <c r="C142" s="383" t="s">
        <v>253</v>
      </c>
      <c r="D142" s="384" t="s">
        <v>344</v>
      </c>
      <c r="E142" s="858"/>
      <c r="F142" s="690">
        <v>0</v>
      </c>
      <c r="G142" s="385">
        <v>20</v>
      </c>
      <c r="H142" s="861"/>
      <c r="I142" s="390"/>
      <c r="J142" s="391"/>
      <c r="K142" s="392">
        <f t="shared" ref="K142:K150" si="12">ROUND(F142/G142,3)</f>
        <v>0</v>
      </c>
      <c r="L142" s="389"/>
      <c r="M142" s="877"/>
      <c r="N142" s="880"/>
      <c r="O142" s="901"/>
      <c r="P142" s="883"/>
      <c r="Q142" s="872"/>
      <c r="R142" s="378"/>
      <c r="S142" s="808"/>
      <c r="T142" s="809"/>
      <c r="U142" s="809"/>
      <c r="V142" s="809"/>
      <c r="W142" s="809"/>
      <c r="X142" s="809"/>
      <c r="Y142" s="810"/>
      <c r="Z142" s="379"/>
      <c r="AA142" s="381"/>
      <c r="AB142" s="381"/>
      <c r="AC142" s="381"/>
      <c r="AD142" s="381"/>
      <c r="AE142" s="381"/>
      <c r="AF142" s="381"/>
      <c r="AG142" s="381"/>
      <c r="AH142" s="381"/>
      <c r="AI142" s="381"/>
      <c r="AJ142" s="381"/>
      <c r="AK142" s="381"/>
      <c r="AL142" s="381"/>
      <c r="AM142" s="381"/>
      <c r="AN142" s="381"/>
      <c r="AO142" s="381"/>
      <c r="AP142" s="381"/>
      <c r="AQ142" s="381"/>
      <c r="AR142" s="381"/>
      <c r="AS142" s="381"/>
      <c r="AT142" s="381"/>
      <c r="AU142" s="381"/>
    </row>
    <row r="143" spans="1:47" s="382" customFormat="1" ht="18" customHeight="1" x14ac:dyDescent="0.45">
      <c r="A143" s="441"/>
      <c r="B143" s="903"/>
      <c r="C143" s="383" t="s">
        <v>265</v>
      </c>
      <c r="D143" s="384" t="s">
        <v>345</v>
      </c>
      <c r="E143" s="858"/>
      <c r="F143" s="690">
        <v>0</v>
      </c>
      <c r="G143" s="385">
        <v>40</v>
      </c>
      <c r="H143" s="861"/>
      <c r="I143" s="390"/>
      <c r="J143" s="391"/>
      <c r="K143" s="392">
        <f t="shared" si="12"/>
        <v>0</v>
      </c>
      <c r="L143" s="389"/>
      <c r="M143" s="877"/>
      <c r="N143" s="880"/>
      <c r="O143" s="901"/>
      <c r="P143" s="883"/>
      <c r="Q143" s="872"/>
      <c r="R143" s="378"/>
      <c r="S143" s="808"/>
      <c r="T143" s="809"/>
      <c r="U143" s="809"/>
      <c r="V143" s="809"/>
      <c r="W143" s="809"/>
      <c r="X143" s="809"/>
      <c r="Y143" s="810"/>
      <c r="Z143" s="379"/>
      <c r="AA143" s="381"/>
      <c r="AB143" s="381"/>
      <c r="AC143" s="381"/>
      <c r="AD143" s="381"/>
      <c r="AE143" s="381"/>
      <c r="AF143" s="381"/>
      <c r="AG143" s="381"/>
      <c r="AH143" s="381"/>
      <c r="AI143" s="381"/>
      <c r="AJ143" s="381"/>
      <c r="AK143" s="381"/>
      <c r="AL143" s="381"/>
      <c r="AM143" s="381"/>
      <c r="AN143" s="381"/>
      <c r="AO143" s="381"/>
      <c r="AP143" s="381"/>
      <c r="AQ143" s="381"/>
      <c r="AR143" s="381"/>
      <c r="AS143" s="381"/>
      <c r="AT143" s="381"/>
      <c r="AU143" s="381"/>
    </row>
    <row r="144" spans="1:47" s="382" customFormat="1" ht="18" customHeight="1" x14ac:dyDescent="0.45">
      <c r="A144" s="441"/>
      <c r="B144" s="903"/>
      <c r="C144" s="383" t="s">
        <v>281</v>
      </c>
      <c r="D144" s="384" t="s">
        <v>346</v>
      </c>
      <c r="E144" s="858"/>
      <c r="F144" s="690">
        <v>0</v>
      </c>
      <c r="G144" s="385">
        <v>30</v>
      </c>
      <c r="H144" s="861"/>
      <c r="I144" s="390"/>
      <c r="J144" s="391"/>
      <c r="K144" s="392">
        <f t="shared" si="12"/>
        <v>0</v>
      </c>
      <c r="L144" s="389"/>
      <c r="M144" s="877"/>
      <c r="N144" s="880"/>
      <c r="O144" s="901"/>
      <c r="P144" s="883"/>
      <c r="Q144" s="872"/>
      <c r="R144" s="378"/>
      <c r="S144" s="808"/>
      <c r="T144" s="809"/>
      <c r="U144" s="809"/>
      <c r="V144" s="809"/>
      <c r="W144" s="809"/>
      <c r="X144" s="809"/>
      <c r="Y144" s="810"/>
      <c r="Z144" s="379"/>
      <c r="AA144" s="381"/>
      <c r="AB144" s="381"/>
      <c r="AC144" s="381"/>
      <c r="AD144" s="381"/>
      <c r="AE144" s="381"/>
      <c r="AF144" s="381"/>
      <c r="AG144" s="381"/>
      <c r="AH144" s="381"/>
      <c r="AI144" s="381"/>
      <c r="AJ144" s="381"/>
      <c r="AK144" s="381"/>
      <c r="AL144" s="381"/>
      <c r="AM144" s="381"/>
      <c r="AN144" s="381"/>
      <c r="AO144" s="381"/>
      <c r="AP144" s="381"/>
      <c r="AQ144" s="381"/>
      <c r="AR144" s="381"/>
      <c r="AS144" s="381"/>
      <c r="AT144" s="381"/>
      <c r="AU144" s="381"/>
    </row>
    <row r="145" spans="1:47" s="382" customFormat="1" ht="18" customHeight="1" x14ac:dyDescent="0.45">
      <c r="A145" s="441"/>
      <c r="B145" s="903"/>
      <c r="C145" s="383" t="s">
        <v>282</v>
      </c>
      <c r="D145" s="384" t="s">
        <v>347</v>
      </c>
      <c r="E145" s="858"/>
      <c r="F145" s="690">
        <v>0</v>
      </c>
      <c r="G145" s="385">
        <v>10</v>
      </c>
      <c r="H145" s="861"/>
      <c r="I145" s="390"/>
      <c r="J145" s="391"/>
      <c r="K145" s="392">
        <f t="shared" si="12"/>
        <v>0</v>
      </c>
      <c r="L145" s="389"/>
      <c r="M145" s="877"/>
      <c r="N145" s="880"/>
      <c r="O145" s="901"/>
      <c r="P145" s="883"/>
      <c r="Q145" s="872"/>
      <c r="R145" s="378"/>
      <c r="S145" s="808"/>
      <c r="T145" s="809"/>
      <c r="U145" s="809"/>
      <c r="V145" s="809"/>
      <c r="W145" s="809"/>
      <c r="X145" s="809"/>
      <c r="Y145" s="810"/>
      <c r="Z145" s="379"/>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row>
    <row r="146" spans="1:47" s="382" customFormat="1" ht="26.1" customHeight="1" x14ac:dyDescent="0.45">
      <c r="A146" s="441"/>
      <c r="B146" s="903"/>
      <c r="C146" s="383" t="s">
        <v>283</v>
      </c>
      <c r="D146" s="384" t="s">
        <v>348</v>
      </c>
      <c r="E146" s="858"/>
      <c r="F146" s="690">
        <v>0</v>
      </c>
      <c r="G146" s="385">
        <v>20</v>
      </c>
      <c r="H146" s="861"/>
      <c r="I146" s="390"/>
      <c r="J146" s="391"/>
      <c r="K146" s="392">
        <f t="shared" si="12"/>
        <v>0</v>
      </c>
      <c r="L146" s="389"/>
      <c r="M146" s="877"/>
      <c r="N146" s="880"/>
      <c r="O146" s="901"/>
      <c r="P146" s="883"/>
      <c r="Q146" s="872"/>
      <c r="R146" s="378"/>
      <c r="S146" s="808"/>
      <c r="T146" s="809"/>
      <c r="U146" s="809"/>
      <c r="V146" s="809"/>
      <c r="W146" s="809"/>
      <c r="X146" s="809"/>
      <c r="Y146" s="810"/>
      <c r="Z146" s="379"/>
      <c r="AA146" s="381"/>
      <c r="AB146" s="381"/>
      <c r="AC146" s="381"/>
      <c r="AD146" s="381"/>
      <c r="AE146" s="381"/>
      <c r="AF146" s="381"/>
      <c r="AG146" s="381"/>
      <c r="AH146" s="381"/>
      <c r="AI146" s="381"/>
      <c r="AJ146" s="381"/>
      <c r="AK146" s="381"/>
      <c r="AL146" s="381"/>
      <c r="AM146" s="381"/>
      <c r="AN146" s="381"/>
      <c r="AO146" s="381"/>
      <c r="AP146" s="381"/>
      <c r="AQ146" s="381"/>
      <c r="AR146" s="381"/>
      <c r="AS146" s="381"/>
      <c r="AT146" s="381"/>
      <c r="AU146" s="381"/>
    </row>
    <row r="147" spans="1:47" s="382" customFormat="1" ht="18" customHeight="1" x14ac:dyDescent="0.45">
      <c r="A147" s="441"/>
      <c r="B147" s="903"/>
      <c r="C147" s="383" t="s">
        <v>268</v>
      </c>
      <c r="D147" s="384" t="s">
        <v>349</v>
      </c>
      <c r="E147" s="858"/>
      <c r="F147" s="690">
        <v>0</v>
      </c>
      <c r="G147" s="385">
        <v>40</v>
      </c>
      <c r="H147" s="861"/>
      <c r="I147" s="390"/>
      <c r="J147" s="391"/>
      <c r="K147" s="392">
        <f t="shared" si="12"/>
        <v>0</v>
      </c>
      <c r="L147" s="389"/>
      <c r="M147" s="877"/>
      <c r="N147" s="880"/>
      <c r="O147" s="901"/>
      <c r="P147" s="883"/>
      <c r="Q147" s="872"/>
      <c r="R147" s="378"/>
      <c r="S147" s="808"/>
      <c r="T147" s="809"/>
      <c r="U147" s="809"/>
      <c r="V147" s="809"/>
      <c r="W147" s="809"/>
      <c r="X147" s="809"/>
      <c r="Y147" s="810"/>
      <c r="Z147" s="379"/>
      <c r="AA147" s="381"/>
      <c r="AB147" s="381"/>
      <c r="AC147" s="381"/>
      <c r="AD147" s="381"/>
      <c r="AE147" s="381"/>
      <c r="AF147" s="381"/>
      <c r="AG147" s="381"/>
      <c r="AH147" s="381"/>
      <c r="AI147" s="381"/>
      <c r="AJ147" s="381"/>
      <c r="AK147" s="381"/>
      <c r="AL147" s="381"/>
      <c r="AM147" s="381"/>
      <c r="AN147" s="381"/>
      <c r="AO147" s="381"/>
      <c r="AP147" s="381"/>
      <c r="AQ147" s="381"/>
      <c r="AR147" s="381"/>
      <c r="AS147" s="381"/>
      <c r="AT147" s="381"/>
      <c r="AU147" s="381"/>
    </row>
    <row r="148" spans="1:47" s="382" customFormat="1" ht="18" customHeight="1" x14ac:dyDescent="0.45">
      <c r="A148" s="441"/>
      <c r="B148" s="903"/>
      <c r="C148" s="383" t="s">
        <v>285</v>
      </c>
      <c r="D148" s="384" t="s">
        <v>350</v>
      </c>
      <c r="E148" s="858"/>
      <c r="F148" s="690">
        <v>0</v>
      </c>
      <c r="G148" s="385">
        <v>40</v>
      </c>
      <c r="H148" s="861"/>
      <c r="I148" s="390"/>
      <c r="J148" s="391"/>
      <c r="K148" s="392">
        <f t="shared" si="12"/>
        <v>0</v>
      </c>
      <c r="L148" s="389"/>
      <c r="M148" s="877"/>
      <c r="N148" s="880"/>
      <c r="O148" s="901"/>
      <c r="P148" s="883"/>
      <c r="Q148" s="872"/>
      <c r="R148" s="378"/>
      <c r="S148" s="808"/>
      <c r="T148" s="809"/>
      <c r="U148" s="809"/>
      <c r="V148" s="809"/>
      <c r="W148" s="809"/>
      <c r="X148" s="809"/>
      <c r="Y148" s="810"/>
      <c r="Z148" s="379"/>
      <c r="AA148" s="381"/>
      <c r="AB148" s="381"/>
      <c r="AC148" s="381"/>
      <c r="AD148" s="381"/>
      <c r="AE148" s="381"/>
      <c r="AF148" s="381"/>
      <c r="AG148" s="381"/>
      <c r="AH148" s="381"/>
      <c r="AI148" s="381"/>
      <c r="AJ148" s="381"/>
      <c r="AK148" s="381"/>
      <c r="AL148" s="381"/>
      <c r="AM148" s="381"/>
      <c r="AN148" s="381"/>
      <c r="AO148" s="381"/>
      <c r="AP148" s="381"/>
      <c r="AQ148" s="381"/>
      <c r="AR148" s="381"/>
      <c r="AS148" s="381"/>
      <c r="AT148" s="381"/>
      <c r="AU148" s="381"/>
    </row>
    <row r="149" spans="1:47" s="382" customFormat="1" ht="18" customHeight="1" x14ac:dyDescent="0.45">
      <c r="A149" s="441"/>
      <c r="B149" s="903"/>
      <c r="C149" s="383" t="s">
        <v>829</v>
      </c>
      <c r="D149" s="384" t="s">
        <v>351</v>
      </c>
      <c r="E149" s="858"/>
      <c r="F149" s="690">
        <v>0</v>
      </c>
      <c r="G149" s="385">
        <v>100</v>
      </c>
      <c r="H149" s="861"/>
      <c r="I149" s="390"/>
      <c r="J149" s="391"/>
      <c r="K149" s="392">
        <f t="shared" si="12"/>
        <v>0</v>
      </c>
      <c r="L149" s="389"/>
      <c r="M149" s="877"/>
      <c r="N149" s="880"/>
      <c r="O149" s="901"/>
      <c r="P149" s="883"/>
      <c r="Q149" s="872"/>
      <c r="R149" s="378"/>
      <c r="S149" s="691"/>
      <c r="T149" s="692"/>
      <c r="U149" s="692"/>
      <c r="V149" s="692"/>
      <c r="W149" s="692"/>
      <c r="X149" s="692"/>
      <c r="Y149" s="693"/>
      <c r="Z149" s="379"/>
      <c r="AA149" s="381"/>
      <c r="AB149" s="381"/>
      <c r="AC149" s="381"/>
      <c r="AD149" s="381"/>
      <c r="AE149" s="381"/>
      <c r="AF149" s="381"/>
      <c r="AG149" s="381"/>
      <c r="AH149" s="381"/>
      <c r="AI149" s="381"/>
      <c r="AJ149" s="381"/>
      <c r="AK149" s="381"/>
      <c r="AL149" s="381"/>
      <c r="AM149" s="381"/>
      <c r="AN149" s="381"/>
      <c r="AO149" s="381"/>
      <c r="AP149" s="381"/>
      <c r="AQ149" s="381"/>
      <c r="AR149" s="381"/>
      <c r="AS149" s="381"/>
      <c r="AT149" s="381"/>
      <c r="AU149" s="381"/>
    </row>
    <row r="150" spans="1:47" s="382" customFormat="1" ht="18" customHeight="1" x14ac:dyDescent="0.45">
      <c r="A150" s="441"/>
      <c r="B150" s="903"/>
      <c r="C150" s="383" t="s">
        <v>244</v>
      </c>
      <c r="D150" s="384" t="s">
        <v>352</v>
      </c>
      <c r="E150" s="859"/>
      <c r="F150" s="690">
        <v>0</v>
      </c>
      <c r="G150" s="385">
        <v>20</v>
      </c>
      <c r="H150" s="862"/>
      <c r="I150" s="393"/>
      <c r="J150" s="394"/>
      <c r="K150" s="395">
        <f t="shared" si="12"/>
        <v>0</v>
      </c>
      <c r="L150" s="389"/>
      <c r="M150" s="877"/>
      <c r="N150" s="880"/>
      <c r="O150" s="901"/>
      <c r="P150" s="883"/>
      <c r="Q150" s="872"/>
      <c r="R150" s="378"/>
      <c r="S150" s="808"/>
      <c r="T150" s="809"/>
      <c r="U150" s="809"/>
      <c r="V150" s="809"/>
      <c r="W150" s="809"/>
      <c r="X150" s="809"/>
      <c r="Y150" s="810"/>
      <c r="Z150" s="379"/>
      <c r="AA150" s="381"/>
      <c r="AB150" s="381"/>
      <c r="AC150" s="381"/>
      <c r="AD150" s="381"/>
      <c r="AE150" s="381"/>
      <c r="AF150" s="381"/>
      <c r="AG150" s="381"/>
      <c r="AH150" s="381"/>
      <c r="AI150" s="381"/>
      <c r="AJ150" s="381"/>
      <c r="AK150" s="381"/>
      <c r="AL150" s="381"/>
      <c r="AM150" s="381"/>
      <c r="AN150" s="381"/>
      <c r="AO150" s="381"/>
      <c r="AP150" s="381"/>
      <c r="AQ150" s="381"/>
      <c r="AR150" s="381"/>
      <c r="AS150" s="381"/>
      <c r="AT150" s="381"/>
      <c r="AU150" s="381"/>
    </row>
    <row r="151" spans="1:47" s="382" customFormat="1" ht="18" customHeight="1" thickBot="1" x14ac:dyDescent="0.5">
      <c r="A151" s="441"/>
      <c r="B151" s="405" t="s">
        <v>353</v>
      </c>
      <c r="C151" s="874" t="s">
        <v>354</v>
      </c>
      <c r="D151" s="875"/>
      <c r="E151" s="397">
        <f>IF(SUM(F152:F167)&lt;AA151,0,IF(SUM(F152:F167)&gt;100,100,SUM(F152:F167)))</f>
        <v>0</v>
      </c>
      <c r="F151" s="648"/>
      <c r="G151" s="400">
        <f>SUM(G152:G167)</f>
        <v>100</v>
      </c>
      <c r="H151" s="459">
        <v>2</v>
      </c>
      <c r="I151" s="406">
        <f>ROUND(E151*H151,0)</f>
        <v>0</v>
      </c>
      <c r="J151" s="402">
        <f>G151*H151</f>
        <v>200</v>
      </c>
      <c r="K151" s="403">
        <f>ROUND(I151/J151,3)</f>
        <v>0</v>
      </c>
      <c r="L151" s="377">
        <f>J151/N$96*P$96</f>
        <v>1.8072289156626505E-2</v>
      </c>
      <c r="M151" s="877"/>
      <c r="N151" s="880"/>
      <c r="O151" s="901"/>
      <c r="P151" s="883"/>
      <c r="Q151" s="872"/>
      <c r="R151" s="378"/>
      <c r="S151" s="808"/>
      <c r="T151" s="809"/>
      <c r="U151" s="809"/>
      <c r="V151" s="809"/>
      <c r="W151" s="809"/>
      <c r="X151" s="809"/>
      <c r="Y151" s="810"/>
      <c r="Z151" s="379"/>
      <c r="AA151" s="380">
        <v>10</v>
      </c>
      <c r="AB151" s="381"/>
      <c r="AC151" s="381"/>
      <c r="AD151" s="381"/>
      <c r="AE151" s="381"/>
      <c r="AF151" s="381"/>
      <c r="AG151" s="381"/>
      <c r="AH151" s="381"/>
      <c r="AI151" s="381"/>
      <c r="AJ151" s="381"/>
      <c r="AK151" s="381"/>
      <c r="AL151" s="381"/>
      <c r="AM151" s="381"/>
      <c r="AN151" s="381"/>
      <c r="AO151" s="381"/>
      <c r="AP151" s="381"/>
      <c r="AQ151" s="381"/>
      <c r="AR151" s="381"/>
      <c r="AS151" s="381"/>
      <c r="AT151" s="381"/>
      <c r="AU151" s="381"/>
    </row>
    <row r="152" spans="1:47" s="382" customFormat="1" ht="25.15" customHeight="1" x14ac:dyDescent="0.45">
      <c r="A152" s="441"/>
      <c r="B152" s="857"/>
      <c r="C152" s="383" t="s">
        <v>253</v>
      </c>
      <c r="D152" s="427" t="s">
        <v>355</v>
      </c>
      <c r="E152" s="857"/>
      <c r="F152" s="698">
        <v>0</v>
      </c>
      <c r="G152" s="385">
        <v>8</v>
      </c>
      <c r="H152" s="860"/>
      <c r="I152" s="460"/>
      <c r="J152" s="461"/>
      <c r="K152" s="388">
        <f t="shared" ref="K152:K167" si="13">ROUND(F152/G152,3)</f>
        <v>0</v>
      </c>
      <c r="L152" s="389"/>
      <c r="M152" s="877"/>
      <c r="N152" s="880"/>
      <c r="O152" s="901"/>
      <c r="P152" s="883"/>
      <c r="Q152" s="872"/>
      <c r="R152" s="378"/>
      <c r="S152" s="808"/>
      <c r="T152" s="809"/>
      <c r="U152" s="809"/>
      <c r="V152" s="809"/>
      <c r="W152" s="809"/>
      <c r="X152" s="809"/>
      <c r="Y152" s="810"/>
      <c r="Z152" s="379"/>
      <c r="AA152" s="381"/>
      <c r="AB152" s="381"/>
      <c r="AC152" s="381"/>
      <c r="AD152" s="381"/>
      <c r="AE152" s="381"/>
      <c r="AF152" s="381"/>
      <c r="AG152" s="381"/>
      <c r="AH152" s="381"/>
      <c r="AI152" s="381"/>
      <c r="AJ152" s="381"/>
      <c r="AK152" s="381"/>
      <c r="AL152" s="381"/>
      <c r="AM152" s="381"/>
      <c r="AN152" s="381"/>
      <c r="AO152" s="381"/>
      <c r="AP152" s="381"/>
      <c r="AQ152" s="381"/>
      <c r="AR152" s="381"/>
      <c r="AS152" s="381"/>
      <c r="AT152" s="381"/>
      <c r="AU152" s="381"/>
    </row>
    <row r="153" spans="1:47" s="382" customFormat="1" ht="25.15" customHeight="1" x14ac:dyDescent="0.45">
      <c r="A153" s="441"/>
      <c r="B153" s="858"/>
      <c r="C153" s="383" t="s">
        <v>339</v>
      </c>
      <c r="D153" s="427" t="s">
        <v>356</v>
      </c>
      <c r="E153" s="858"/>
      <c r="F153" s="698">
        <v>0</v>
      </c>
      <c r="G153" s="385">
        <v>2.5</v>
      </c>
      <c r="H153" s="861"/>
      <c r="I153" s="462"/>
      <c r="J153" s="463"/>
      <c r="K153" s="392">
        <f t="shared" si="13"/>
        <v>0</v>
      </c>
      <c r="L153" s="389"/>
      <c r="M153" s="877"/>
      <c r="N153" s="880"/>
      <c r="O153" s="901"/>
      <c r="P153" s="883"/>
      <c r="Q153" s="872"/>
      <c r="R153" s="378"/>
      <c r="S153" s="808"/>
      <c r="T153" s="809"/>
      <c r="U153" s="809"/>
      <c r="V153" s="809"/>
      <c r="W153" s="809"/>
      <c r="X153" s="809"/>
      <c r="Y153" s="810"/>
      <c r="Z153" s="379"/>
      <c r="AA153" s="381"/>
      <c r="AB153" s="381"/>
      <c r="AC153" s="381"/>
      <c r="AD153" s="381"/>
      <c r="AE153" s="381"/>
      <c r="AF153" s="381"/>
      <c r="AG153" s="381"/>
      <c r="AH153" s="381"/>
      <c r="AI153" s="381"/>
      <c r="AJ153" s="381"/>
      <c r="AK153" s="381"/>
      <c r="AL153" s="381"/>
      <c r="AM153" s="381"/>
      <c r="AN153" s="381"/>
      <c r="AO153" s="381"/>
      <c r="AP153" s="381"/>
      <c r="AQ153" s="381"/>
      <c r="AR153" s="381"/>
      <c r="AS153" s="381"/>
      <c r="AT153" s="381"/>
      <c r="AU153" s="381"/>
    </row>
    <row r="154" spans="1:47" s="382" customFormat="1" ht="25.15" customHeight="1" x14ac:dyDescent="0.45">
      <c r="A154" s="441"/>
      <c r="B154" s="858"/>
      <c r="C154" s="383" t="s">
        <v>341</v>
      </c>
      <c r="D154" s="427" t="s">
        <v>357</v>
      </c>
      <c r="E154" s="858"/>
      <c r="F154" s="698">
        <v>0</v>
      </c>
      <c r="G154" s="385">
        <v>2.5</v>
      </c>
      <c r="H154" s="861"/>
      <c r="I154" s="462"/>
      <c r="J154" s="463"/>
      <c r="K154" s="392">
        <f t="shared" si="13"/>
        <v>0</v>
      </c>
      <c r="L154" s="389"/>
      <c r="M154" s="877"/>
      <c r="N154" s="880"/>
      <c r="O154" s="901"/>
      <c r="P154" s="883"/>
      <c r="Q154" s="872"/>
      <c r="R154" s="378"/>
      <c r="S154" s="808"/>
      <c r="T154" s="809"/>
      <c r="U154" s="809"/>
      <c r="V154" s="809"/>
      <c r="W154" s="809"/>
      <c r="X154" s="809"/>
      <c r="Y154" s="810"/>
      <c r="Z154" s="379"/>
      <c r="AA154" s="381"/>
      <c r="AB154" s="381"/>
      <c r="AC154" s="381"/>
      <c r="AD154" s="381"/>
      <c r="AE154" s="381"/>
      <c r="AF154" s="381"/>
      <c r="AG154" s="381"/>
      <c r="AH154" s="381"/>
      <c r="AI154" s="381"/>
      <c r="AJ154" s="381"/>
      <c r="AK154" s="381"/>
      <c r="AL154" s="381"/>
      <c r="AM154" s="381"/>
      <c r="AN154" s="381"/>
      <c r="AO154" s="381"/>
      <c r="AP154" s="381"/>
      <c r="AQ154" s="381"/>
      <c r="AR154" s="381"/>
      <c r="AS154" s="381"/>
      <c r="AT154" s="381"/>
      <c r="AU154" s="381"/>
    </row>
    <row r="155" spans="1:47" s="382" customFormat="1" ht="18" customHeight="1" x14ac:dyDescent="0.45">
      <c r="A155" s="441"/>
      <c r="B155" s="858"/>
      <c r="C155" s="383" t="s">
        <v>358</v>
      </c>
      <c r="D155" s="427" t="s">
        <v>359</v>
      </c>
      <c r="E155" s="858"/>
      <c r="F155" s="698">
        <v>0</v>
      </c>
      <c r="G155" s="385">
        <v>4.5</v>
      </c>
      <c r="H155" s="861"/>
      <c r="I155" s="462"/>
      <c r="J155" s="463"/>
      <c r="K155" s="392">
        <f t="shared" si="13"/>
        <v>0</v>
      </c>
      <c r="L155" s="389"/>
      <c r="M155" s="877"/>
      <c r="N155" s="880"/>
      <c r="O155" s="901"/>
      <c r="P155" s="883"/>
      <c r="Q155" s="872"/>
      <c r="R155" s="378"/>
      <c r="S155" s="808"/>
      <c r="T155" s="809"/>
      <c r="U155" s="809"/>
      <c r="V155" s="809"/>
      <c r="W155" s="809"/>
      <c r="X155" s="809"/>
      <c r="Y155" s="810"/>
      <c r="Z155" s="379"/>
      <c r="AA155" s="381"/>
      <c r="AB155" s="381"/>
      <c r="AC155" s="381"/>
      <c r="AD155" s="381"/>
      <c r="AE155" s="381"/>
      <c r="AF155" s="381"/>
      <c r="AG155" s="381"/>
      <c r="AH155" s="381"/>
      <c r="AI155" s="381"/>
      <c r="AJ155" s="381"/>
      <c r="AK155" s="381"/>
      <c r="AL155" s="381"/>
      <c r="AM155" s="381"/>
      <c r="AN155" s="381"/>
      <c r="AO155" s="381"/>
      <c r="AP155" s="381"/>
      <c r="AQ155" s="381"/>
      <c r="AR155" s="381"/>
      <c r="AS155" s="381"/>
      <c r="AT155" s="381"/>
      <c r="AU155" s="381"/>
    </row>
    <row r="156" spans="1:47" s="382" customFormat="1" ht="25.15" customHeight="1" x14ac:dyDescent="0.45">
      <c r="A156" s="441"/>
      <c r="B156" s="858"/>
      <c r="C156" s="383" t="s">
        <v>283</v>
      </c>
      <c r="D156" s="427" t="s">
        <v>360</v>
      </c>
      <c r="E156" s="858"/>
      <c r="F156" s="698">
        <v>0</v>
      </c>
      <c r="G156" s="385">
        <v>7.5</v>
      </c>
      <c r="H156" s="861"/>
      <c r="I156" s="462"/>
      <c r="J156" s="463"/>
      <c r="K156" s="392"/>
      <c r="L156" s="389"/>
      <c r="M156" s="877"/>
      <c r="N156" s="880"/>
      <c r="O156" s="901"/>
      <c r="P156" s="883"/>
      <c r="Q156" s="872"/>
      <c r="R156" s="378"/>
      <c r="S156" s="691"/>
      <c r="T156" s="692"/>
      <c r="U156" s="692"/>
      <c r="V156" s="692"/>
      <c r="W156" s="692"/>
      <c r="X156" s="692"/>
      <c r="Y156" s="693"/>
      <c r="Z156" s="379"/>
      <c r="AA156" s="381"/>
      <c r="AB156" s="381"/>
      <c r="AC156" s="381"/>
      <c r="AD156" s="381"/>
      <c r="AE156" s="381"/>
      <c r="AF156" s="381"/>
      <c r="AG156" s="381"/>
      <c r="AH156" s="381"/>
      <c r="AI156" s="381"/>
      <c r="AJ156" s="381"/>
      <c r="AK156" s="381"/>
      <c r="AL156" s="381"/>
      <c r="AM156" s="381"/>
      <c r="AN156" s="381"/>
      <c r="AO156" s="381"/>
      <c r="AP156" s="381"/>
      <c r="AQ156" s="381"/>
      <c r="AR156" s="381"/>
      <c r="AS156" s="381"/>
      <c r="AT156" s="381"/>
      <c r="AU156" s="381"/>
    </row>
    <row r="157" spans="1:47" s="382" customFormat="1" ht="25.15" customHeight="1" x14ac:dyDescent="0.45">
      <c r="A157" s="441"/>
      <c r="B157" s="858"/>
      <c r="C157" s="383" t="s">
        <v>266</v>
      </c>
      <c r="D157" s="427" t="s">
        <v>361</v>
      </c>
      <c r="E157" s="858"/>
      <c r="F157" s="698">
        <v>0</v>
      </c>
      <c r="G157" s="385">
        <v>5</v>
      </c>
      <c r="H157" s="861"/>
      <c r="I157" s="462"/>
      <c r="J157" s="463"/>
      <c r="K157" s="392"/>
      <c r="L157" s="389"/>
      <c r="M157" s="877"/>
      <c r="N157" s="880"/>
      <c r="O157" s="901"/>
      <c r="P157" s="883"/>
      <c r="Q157" s="872"/>
      <c r="R157" s="378"/>
      <c r="S157" s="691"/>
      <c r="T157" s="692"/>
      <c r="U157" s="692"/>
      <c r="V157" s="692"/>
      <c r="W157" s="692"/>
      <c r="X157" s="692"/>
      <c r="Y157" s="693"/>
      <c r="Z157" s="379"/>
      <c r="AA157" s="381"/>
      <c r="AB157" s="381"/>
      <c r="AC157" s="381"/>
      <c r="AD157" s="381"/>
      <c r="AE157" s="381"/>
      <c r="AF157" s="381"/>
      <c r="AG157" s="381"/>
      <c r="AH157" s="381"/>
      <c r="AI157" s="381"/>
      <c r="AJ157" s="381"/>
      <c r="AK157" s="381"/>
      <c r="AL157" s="381"/>
      <c r="AM157" s="381"/>
      <c r="AN157" s="381"/>
      <c r="AO157" s="381"/>
      <c r="AP157" s="381"/>
      <c r="AQ157" s="381"/>
      <c r="AR157" s="381"/>
      <c r="AS157" s="381"/>
      <c r="AT157" s="381"/>
      <c r="AU157" s="381"/>
    </row>
    <row r="158" spans="1:47" s="382" customFormat="1" ht="18" customHeight="1" x14ac:dyDescent="0.45">
      <c r="A158" s="441"/>
      <c r="B158" s="858"/>
      <c r="C158" s="383" t="s">
        <v>268</v>
      </c>
      <c r="D158" s="427" t="s">
        <v>362</v>
      </c>
      <c r="E158" s="858"/>
      <c r="F158" s="698">
        <v>0</v>
      </c>
      <c r="G158" s="385">
        <v>7.5</v>
      </c>
      <c r="H158" s="861"/>
      <c r="I158" s="462"/>
      <c r="J158" s="463"/>
      <c r="K158" s="392"/>
      <c r="L158" s="389"/>
      <c r="M158" s="877"/>
      <c r="N158" s="880"/>
      <c r="O158" s="901"/>
      <c r="P158" s="883"/>
      <c r="Q158" s="872"/>
      <c r="R158" s="378"/>
      <c r="S158" s="691"/>
      <c r="T158" s="692"/>
      <c r="U158" s="692"/>
      <c r="V158" s="692"/>
      <c r="W158" s="692"/>
      <c r="X158" s="692"/>
      <c r="Y158" s="693"/>
      <c r="Z158" s="379"/>
      <c r="AA158" s="381"/>
      <c r="AB158" s="381"/>
      <c r="AC158" s="381"/>
      <c r="AD158" s="381"/>
      <c r="AE158" s="381"/>
      <c r="AF158" s="381"/>
      <c r="AG158" s="381"/>
      <c r="AH158" s="381"/>
      <c r="AI158" s="381"/>
      <c r="AJ158" s="381"/>
      <c r="AK158" s="381"/>
      <c r="AL158" s="381"/>
      <c r="AM158" s="381"/>
      <c r="AN158" s="381"/>
      <c r="AO158" s="381"/>
      <c r="AP158" s="381"/>
      <c r="AQ158" s="381"/>
      <c r="AR158" s="381"/>
      <c r="AS158" s="381"/>
      <c r="AT158" s="381"/>
      <c r="AU158" s="381"/>
    </row>
    <row r="159" spans="1:47" s="382" customFormat="1" ht="18" customHeight="1" x14ac:dyDescent="0.45">
      <c r="A159" s="441"/>
      <c r="B159" s="858"/>
      <c r="C159" s="383" t="s">
        <v>285</v>
      </c>
      <c r="D159" s="427" t="s">
        <v>363</v>
      </c>
      <c r="E159" s="858"/>
      <c r="F159" s="698">
        <v>0</v>
      </c>
      <c r="G159" s="385">
        <v>12.5</v>
      </c>
      <c r="H159" s="861"/>
      <c r="I159" s="462"/>
      <c r="J159" s="463"/>
      <c r="K159" s="392"/>
      <c r="L159" s="389"/>
      <c r="M159" s="877"/>
      <c r="N159" s="880"/>
      <c r="O159" s="901"/>
      <c r="P159" s="883"/>
      <c r="Q159" s="872"/>
      <c r="R159" s="378"/>
      <c r="S159" s="691"/>
      <c r="T159" s="692"/>
      <c r="U159" s="692"/>
      <c r="V159" s="692"/>
      <c r="W159" s="692"/>
      <c r="X159" s="692"/>
      <c r="Y159" s="693"/>
      <c r="Z159" s="379"/>
      <c r="AA159" s="381"/>
      <c r="AB159" s="381"/>
      <c r="AC159" s="381"/>
      <c r="AD159" s="381"/>
      <c r="AE159" s="381"/>
      <c r="AF159" s="381"/>
      <c r="AG159" s="381"/>
      <c r="AH159" s="381"/>
      <c r="AI159" s="381"/>
      <c r="AJ159" s="381"/>
      <c r="AK159" s="381"/>
      <c r="AL159" s="381"/>
      <c r="AM159" s="381"/>
      <c r="AN159" s="381"/>
      <c r="AO159" s="381"/>
      <c r="AP159" s="381"/>
      <c r="AQ159" s="381"/>
      <c r="AR159" s="381"/>
      <c r="AS159" s="381"/>
      <c r="AT159" s="381"/>
      <c r="AU159" s="381"/>
    </row>
    <row r="160" spans="1:47" s="382" customFormat="1" ht="18" customHeight="1" x14ac:dyDescent="0.45">
      <c r="A160" s="441"/>
      <c r="B160" s="858"/>
      <c r="C160" s="383" t="s">
        <v>364</v>
      </c>
      <c r="D160" s="427" t="s">
        <v>365</v>
      </c>
      <c r="E160" s="858"/>
      <c r="F160" s="698">
        <v>0</v>
      </c>
      <c r="G160" s="385">
        <v>5</v>
      </c>
      <c r="H160" s="861"/>
      <c r="I160" s="462"/>
      <c r="J160" s="463"/>
      <c r="K160" s="392"/>
      <c r="L160" s="389"/>
      <c r="M160" s="877"/>
      <c r="N160" s="880"/>
      <c r="O160" s="901"/>
      <c r="P160" s="883"/>
      <c r="Q160" s="872"/>
      <c r="R160" s="378"/>
      <c r="S160" s="691"/>
      <c r="T160" s="692"/>
      <c r="U160" s="692"/>
      <c r="V160" s="692"/>
      <c r="W160" s="692"/>
      <c r="X160" s="692"/>
      <c r="Y160" s="693"/>
      <c r="Z160" s="379"/>
      <c r="AA160" s="381"/>
      <c r="AB160" s="381"/>
      <c r="AC160" s="381"/>
      <c r="AD160" s="381"/>
      <c r="AE160" s="381"/>
      <c r="AF160" s="381"/>
      <c r="AG160" s="381"/>
      <c r="AH160" s="381"/>
      <c r="AI160" s="381"/>
      <c r="AJ160" s="381"/>
      <c r="AK160" s="381"/>
      <c r="AL160" s="381"/>
      <c r="AM160" s="381"/>
      <c r="AN160" s="381"/>
      <c r="AO160" s="381"/>
      <c r="AP160" s="381"/>
      <c r="AQ160" s="381"/>
      <c r="AR160" s="381"/>
      <c r="AS160" s="381"/>
      <c r="AT160" s="381"/>
      <c r="AU160" s="381"/>
    </row>
    <row r="161" spans="1:47" s="382" customFormat="1" ht="18" customHeight="1" x14ac:dyDescent="0.45">
      <c r="A161" s="441"/>
      <c r="B161" s="858"/>
      <c r="C161" s="383" t="s">
        <v>366</v>
      </c>
      <c r="D161" s="427" t="s">
        <v>367</v>
      </c>
      <c r="E161" s="858"/>
      <c r="F161" s="698">
        <v>0</v>
      </c>
      <c r="G161" s="385">
        <v>5</v>
      </c>
      <c r="H161" s="861"/>
      <c r="I161" s="462"/>
      <c r="J161" s="463"/>
      <c r="K161" s="392">
        <f t="shared" si="13"/>
        <v>0</v>
      </c>
      <c r="L161" s="389"/>
      <c r="M161" s="877"/>
      <c r="N161" s="880"/>
      <c r="O161" s="901"/>
      <c r="P161" s="883"/>
      <c r="Q161" s="872"/>
      <c r="R161" s="378"/>
      <c r="S161" s="808"/>
      <c r="T161" s="809"/>
      <c r="U161" s="809"/>
      <c r="V161" s="809"/>
      <c r="W161" s="809"/>
      <c r="X161" s="809"/>
      <c r="Y161" s="810"/>
      <c r="Z161" s="379"/>
      <c r="AA161" s="381"/>
      <c r="AB161" s="381"/>
      <c r="AC161" s="381"/>
      <c r="AD161" s="381"/>
      <c r="AE161" s="381"/>
      <c r="AF161" s="381"/>
      <c r="AG161" s="381"/>
      <c r="AH161" s="381"/>
      <c r="AI161" s="381"/>
      <c r="AJ161" s="381"/>
      <c r="AK161" s="381"/>
      <c r="AL161" s="381"/>
      <c r="AM161" s="381"/>
      <c r="AN161" s="381"/>
      <c r="AO161" s="381"/>
      <c r="AP161" s="381"/>
      <c r="AQ161" s="381"/>
      <c r="AR161" s="381"/>
      <c r="AS161" s="381"/>
      <c r="AT161" s="381"/>
      <c r="AU161" s="381"/>
    </row>
    <row r="162" spans="1:47" s="382" customFormat="1" ht="18" customHeight="1" x14ac:dyDescent="0.45">
      <c r="A162" s="441"/>
      <c r="B162" s="858"/>
      <c r="C162" s="383" t="s">
        <v>368</v>
      </c>
      <c r="D162" s="427" t="s">
        <v>369</v>
      </c>
      <c r="E162" s="858"/>
      <c r="F162" s="698">
        <v>0</v>
      </c>
      <c r="G162" s="385">
        <v>7.5</v>
      </c>
      <c r="H162" s="861"/>
      <c r="I162" s="462"/>
      <c r="J162" s="463"/>
      <c r="K162" s="392">
        <f t="shared" si="13"/>
        <v>0</v>
      </c>
      <c r="L162" s="389"/>
      <c r="M162" s="877"/>
      <c r="N162" s="880"/>
      <c r="O162" s="901"/>
      <c r="P162" s="883"/>
      <c r="Q162" s="872"/>
      <c r="R162" s="378"/>
      <c r="S162" s="808"/>
      <c r="T162" s="809"/>
      <c r="U162" s="809"/>
      <c r="V162" s="809"/>
      <c r="W162" s="809"/>
      <c r="X162" s="809"/>
      <c r="Y162" s="810"/>
      <c r="Z162" s="379"/>
      <c r="AA162" s="381"/>
      <c r="AB162" s="381"/>
      <c r="AC162" s="381"/>
      <c r="AD162" s="381"/>
      <c r="AE162" s="381"/>
      <c r="AF162" s="381"/>
      <c r="AG162" s="381"/>
      <c r="AH162" s="381"/>
      <c r="AI162" s="381"/>
      <c r="AJ162" s="381"/>
      <c r="AK162" s="381"/>
      <c r="AL162" s="381"/>
      <c r="AM162" s="381"/>
      <c r="AN162" s="381"/>
      <c r="AO162" s="381"/>
      <c r="AP162" s="381"/>
      <c r="AQ162" s="381"/>
      <c r="AR162" s="381"/>
      <c r="AS162" s="381"/>
      <c r="AT162" s="381"/>
      <c r="AU162" s="381"/>
    </row>
    <row r="163" spans="1:47" s="382" customFormat="1" ht="18" customHeight="1" x14ac:dyDescent="0.45">
      <c r="A163" s="441"/>
      <c r="B163" s="858"/>
      <c r="C163" s="383" t="s">
        <v>370</v>
      </c>
      <c r="D163" s="427" t="s">
        <v>371</v>
      </c>
      <c r="E163" s="858"/>
      <c r="F163" s="698">
        <v>0</v>
      </c>
      <c r="G163" s="385">
        <v>5</v>
      </c>
      <c r="H163" s="861"/>
      <c r="I163" s="462"/>
      <c r="J163" s="463"/>
      <c r="K163" s="392">
        <f t="shared" si="13"/>
        <v>0</v>
      </c>
      <c r="L163" s="389"/>
      <c r="M163" s="877"/>
      <c r="N163" s="880"/>
      <c r="O163" s="901"/>
      <c r="P163" s="883"/>
      <c r="Q163" s="872"/>
      <c r="R163" s="378"/>
      <c r="S163" s="808"/>
      <c r="T163" s="809"/>
      <c r="U163" s="809"/>
      <c r="V163" s="809"/>
      <c r="W163" s="809"/>
      <c r="X163" s="809"/>
      <c r="Y163" s="810"/>
      <c r="Z163" s="379"/>
      <c r="AA163" s="381"/>
      <c r="AB163" s="381"/>
      <c r="AC163" s="381"/>
      <c r="AD163" s="381"/>
      <c r="AE163" s="381"/>
      <c r="AF163" s="381"/>
      <c r="AG163" s="381"/>
      <c r="AH163" s="381"/>
      <c r="AI163" s="381"/>
      <c r="AJ163" s="381"/>
      <c r="AK163" s="381"/>
      <c r="AL163" s="381"/>
      <c r="AM163" s="381"/>
      <c r="AN163" s="381"/>
      <c r="AO163" s="381"/>
      <c r="AP163" s="381"/>
      <c r="AQ163" s="381"/>
      <c r="AR163" s="381"/>
      <c r="AS163" s="381"/>
      <c r="AT163" s="381"/>
      <c r="AU163" s="381"/>
    </row>
    <row r="164" spans="1:47" s="382" customFormat="1" ht="18" customHeight="1" x14ac:dyDescent="0.45">
      <c r="A164" s="441"/>
      <c r="B164" s="884"/>
      <c r="C164" s="383" t="s">
        <v>372</v>
      </c>
      <c r="D164" s="427" t="s">
        <v>373</v>
      </c>
      <c r="E164" s="884"/>
      <c r="F164" s="698">
        <v>0</v>
      </c>
      <c r="G164" s="385">
        <v>5</v>
      </c>
      <c r="H164" s="891"/>
      <c r="I164" s="462"/>
      <c r="J164" s="463"/>
      <c r="K164" s="392">
        <f t="shared" si="13"/>
        <v>0</v>
      </c>
      <c r="L164" s="389"/>
      <c r="M164" s="877"/>
      <c r="N164" s="880"/>
      <c r="O164" s="901"/>
      <c r="P164" s="883"/>
      <c r="Q164" s="872"/>
      <c r="R164" s="378"/>
      <c r="S164" s="808"/>
      <c r="T164" s="809"/>
      <c r="U164" s="809"/>
      <c r="V164" s="809"/>
      <c r="W164" s="809"/>
      <c r="X164" s="809"/>
      <c r="Y164" s="810"/>
      <c r="Z164" s="379"/>
      <c r="AA164" s="381"/>
      <c r="AB164" s="381"/>
      <c r="AC164" s="381"/>
      <c r="AD164" s="381"/>
      <c r="AE164" s="381"/>
      <c r="AF164" s="381"/>
      <c r="AG164" s="381"/>
      <c r="AH164" s="381"/>
      <c r="AI164" s="381"/>
      <c r="AJ164" s="381"/>
      <c r="AK164" s="381"/>
      <c r="AL164" s="381"/>
      <c r="AM164" s="381"/>
      <c r="AN164" s="381"/>
      <c r="AO164" s="381"/>
      <c r="AP164" s="381"/>
      <c r="AQ164" s="381"/>
      <c r="AR164" s="381"/>
      <c r="AS164" s="381"/>
      <c r="AT164" s="381"/>
      <c r="AU164" s="381"/>
    </row>
    <row r="165" spans="1:47" s="382" customFormat="1" ht="25.15" customHeight="1" x14ac:dyDescent="0.45">
      <c r="A165" s="441"/>
      <c r="B165" s="884"/>
      <c r="C165" s="383" t="s">
        <v>323</v>
      </c>
      <c r="D165" s="427" t="s">
        <v>374</v>
      </c>
      <c r="E165" s="884"/>
      <c r="F165" s="698">
        <v>0</v>
      </c>
      <c r="G165" s="385">
        <v>7.5</v>
      </c>
      <c r="H165" s="891"/>
      <c r="I165" s="462"/>
      <c r="J165" s="463"/>
      <c r="K165" s="392">
        <f t="shared" si="13"/>
        <v>0</v>
      </c>
      <c r="L165" s="389"/>
      <c r="M165" s="877"/>
      <c r="N165" s="880"/>
      <c r="O165" s="901"/>
      <c r="P165" s="883"/>
      <c r="Q165" s="872"/>
      <c r="R165" s="378"/>
      <c r="S165" s="808"/>
      <c r="T165" s="809"/>
      <c r="U165" s="809"/>
      <c r="V165" s="809"/>
      <c r="W165" s="809"/>
      <c r="X165" s="809"/>
      <c r="Y165" s="810"/>
      <c r="Z165" s="379"/>
      <c r="AA165" s="381"/>
      <c r="AB165" s="381"/>
      <c r="AC165" s="381"/>
      <c r="AD165" s="381"/>
      <c r="AE165" s="381"/>
      <c r="AF165" s="381"/>
      <c r="AG165" s="381"/>
      <c r="AH165" s="381"/>
      <c r="AI165" s="381"/>
      <c r="AJ165" s="381"/>
      <c r="AK165" s="381"/>
      <c r="AL165" s="381"/>
      <c r="AM165" s="381"/>
      <c r="AN165" s="381"/>
      <c r="AO165" s="381"/>
      <c r="AP165" s="381"/>
      <c r="AQ165" s="381"/>
      <c r="AR165" s="381"/>
      <c r="AS165" s="381"/>
      <c r="AT165" s="381"/>
      <c r="AU165" s="381"/>
    </row>
    <row r="166" spans="1:47" s="382" customFormat="1" ht="18" customHeight="1" x14ac:dyDescent="0.45">
      <c r="A166" s="441"/>
      <c r="B166" s="884"/>
      <c r="C166" s="383" t="s">
        <v>325</v>
      </c>
      <c r="D166" s="427" t="s">
        <v>375</v>
      </c>
      <c r="E166" s="884"/>
      <c r="F166" s="698">
        <v>0</v>
      </c>
      <c r="G166" s="385">
        <v>10</v>
      </c>
      <c r="H166" s="891"/>
      <c r="I166" s="462"/>
      <c r="J166" s="463"/>
      <c r="K166" s="392">
        <f t="shared" si="13"/>
        <v>0</v>
      </c>
      <c r="L166" s="389"/>
      <c r="M166" s="877"/>
      <c r="N166" s="880"/>
      <c r="O166" s="901"/>
      <c r="P166" s="883"/>
      <c r="Q166" s="872"/>
      <c r="R166" s="378"/>
      <c r="S166" s="808"/>
      <c r="T166" s="809"/>
      <c r="U166" s="809"/>
      <c r="V166" s="809"/>
      <c r="W166" s="809"/>
      <c r="X166" s="809"/>
      <c r="Y166" s="810"/>
      <c r="Z166" s="379"/>
      <c r="AA166" s="381"/>
      <c r="AB166" s="381"/>
      <c r="AC166" s="381"/>
      <c r="AD166" s="381"/>
      <c r="AE166" s="381"/>
      <c r="AF166" s="381"/>
      <c r="AG166" s="381"/>
      <c r="AH166" s="381"/>
      <c r="AI166" s="381"/>
      <c r="AJ166" s="381"/>
      <c r="AK166" s="381"/>
      <c r="AL166" s="381"/>
      <c r="AM166" s="381"/>
      <c r="AN166" s="381"/>
      <c r="AO166" s="381"/>
      <c r="AP166" s="381"/>
      <c r="AQ166" s="381"/>
      <c r="AR166" s="381"/>
      <c r="AS166" s="381"/>
      <c r="AT166" s="381"/>
      <c r="AU166" s="381"/>
    </row>
    <row r="167" spans="1:47" s="382" customFormat="1" ht="25.15" customHeight="1" thickBot="1" x14ac:dyDescent="0.5">
      <c r="A167" s="441"/>
      <c r="B167" s="906"/>
      <c r="C167" s="464" t="s">
        <v>327</v>
      </c>
      <c r="D167" s="430" t="s">
        <v>376</v>
      </c>
      <c r="E167" s="906"/>
      <c r="F167" s="700">
        <v>0</v>
      </c>
      <c r="G167" s="431">
        <v>5</v>
      </c>
      <c r="H167" s="892"/>
      <c r="I167" s="465"/>
      <c r="J167" s="466"/>
      <c r="K167" s="434">
        <f t="shared" si="13"/>
        <v>0</v>
      </c>
      <c r="L167" s="434"/>
      <c r="M167" s="899"/>
      <c r="N167" s="867"/>
      <c r="O167" s="902"/>
      <c r="P167" s="869"/>
      <c r="Q167" s="872"/>
      <c r="R167" s="378"/>
      <c r="S167" s="808"/>
      <c r="T167" s="809"/>
      <c r="U167" s="809"/>
      <c r="V167" s="809"/>
      <c r="W167" s="809"/>
      <c r="X167" s="809"/>
      <c r="Y167" s="810"/>
      <c r="Z167" s="379"/>
      <c r="AA167" s="381"/>
      <c r="AB167" s="381"/>
      <c r="AC167" s="381"/>
      <c r="AD167" s="381"/>
      <c r="AE167" s="381"/>
      <c r="AF167" s="381"/>
      <c r="AG167" s="381"/>
      <c r="AH167" s="381"/>
      <c r="AI167" s="381"/>
      <c r="AJ167" s="381"/>
      <c r="AK167" s="381"/>
      <c r="AL167" s="381"/>
      <c r="AM167" s="381"/>
      <c r="AN167" s="381"/>
      <c r="AO167" s="381"/>
      <c r="AP167" s="381"/>
      <c r="AQ167" s="381"/>
      <c r="AR167" s="381"/>
      <c r="AS167" s="381"/>
      <c r="AT167" s="381"/>
      <c r="AU167" s="381"/>
    </row>
    <row r="168" spans="1:47" s="382" customFormat="1" ht="18" customHeight="1" thickBot="1" x14ac:dyDescent="0.5">
      <c r="A168" s="369"/>
      <c r="B168" s="405" t="s">
        <v>377</v>
      </c>
      <c r="C168" s="874" t="s">
        <v>378</v>
      </c>
      <c r="D168" s="875"/>
      <c r="E168" s="397">
        <f>IF(SUM(F169:F173)&lt;AA168,0,IF(SUM(F169:F173)&gt;100,100,SUM(F169:F173)))</f>
        <v>0</v>
      </c>
      <c r="F168" s="398"/>
      <c r="G168" s="400">
        <v>100</v>
      </c>
      <c r="H168" s="400">
        <v>2</v>
      </c>
      <c r="I168" s="406">
        <f>ROUND(E168*H168,0)</f>
        <v>0</v>
      </c>
      <c r="J168" s="402">
        <f>G168*H168</f>
        <v>200</v>
      </c>
      <c r="K168" s="403">
        <f>ROUND(I168/J168,3)</f>
        <v>0</v>
      </c>
      <c r="L168" s="377">
        <f>J168/N$168*P$168</f>
        <v>3.4615384615384617E-2</v>
      </c>
      <c r="M168" s="907">
        <f>SUM(I168:I207)</f>
        <v>0</v>
      </c>
      <c r="N168" s="880">
        <f>SUM(J168:J207)</f>
        <v>1300</v>
      </c>
      <c r="O168" s="883">
        <f>M168/N168</f>
        <v>0</v>
      </c>
      <c r="P168" s="883">
        <v>0.22500000000000001</v>
      </c>
      <c r="Q168" s="872"/>
      <c r="R168" s="378"/>
      <c r="S168" s="808"/>
      <c r="T168" s="809"/>
      <c r="U168" s="809"/>
      <c r="V168" s="809"/>
      <c r="W168" s="809"/>
      <c r="X168" s="809"/>
      <c r="Y168" s="810"/>
      <c r="Z168" s="379"/>
      <c r="AA168" s="380">
        <v>20</v>
      </c>
      <c r="AB168" s="381"/>
      <c r="AC168" s="381"/>
      <c r="AD168" s="381"/>
      <c r="AE168" s="381"/>
      <c r="AF168" s="381"/>
      <c r="AG168" s="381"/>
      <c r="AH168" s="381"/>
      <c r="AI168" s="381"/>
      <c r="AJ168" s="381"/>
      <c r="AK168" s="381"/>
      <c r="AL168" s="381"/>
      <c r="AM168" s="381"/>
      <c r="AN168" s="381"/>
      <c r="AO168" s="381"/>
      <c r="AP168" s="381"/>
      <c r="AQ168" s="381"/>
      <c r="AR168" s="381"/>
      <c r="AS168" s="381"/>
      <c r="AT168" s="381"/>
      <c r="AU168" s="381"/>
    </row>
    <row r="169" spans="1:47" s="382" customFormat="1" ht="18" customHeight="1" x14ac:dyDescent="0.45">
      <c r="A169" s="369"/>
      <c r="B169" s="903"/>
      <c r="C169" s="383" t="s">
        <v>238</v>
      </c>
      <c r="D169" s="384" t="s">
        <v>379</v>
      </c>
      <c r="E169" s="903"/>
      <c r="F169" s="701">
        <v>0</v>
      </c>
      <c r="G169" s="385">
        <v>20</v>
      </c>
      <c r="H169" s="860"/>
      <c r="I169" s="460"/>
      <c r="J169" s="461"/>
      <c r="K169" s="388">
        <f>ROUND(F169/G169,3)</f>
        <v>0</v>
      </c>
      <c r="L169" s="389"/>
      <c r="M169" s="907"/>
      <c r="N169" s="880"/>
      <c r="O169" s="883"/>
      <c r="P169" s="883"/>
      <c r="Q169" s="872"/>
      <c r="R169" s="378"/>
      <c r="S169" s="808"/>
      <c r="T169" s="809"/>
      <c r="U169" s="809"/>
      <c r="V169" s="809"/>
      <c r="W169" s="809"/>
      <c r="X169" s="809"/>
      <c r="Y169" s="810"/>
      <c r="Z169" s="379"/>
      <c r="AA169" s="381"/>
      <c r="AB169" s="381"/>
      <c r="AC169" s="381"/>
      <c r="AD169" s="381"/>
      <c r="AE169" s="381"/>
      <c r="AF169" s="381"/>
      <c r="AG169" s="381"/>
      <c r="AH169" s="381"/>
      <c r="AI169" s="381"/>
      <c r="AJ169" s="381"/>
      <c r="AK169" s="381"/>
      <c r="AL169" s="381"/>
      <c r="AM169" s="381"/>
      <c r="AN169" s="381"/>
      <c r="AO169" s="381"/>
      <c r="AP169" s="381"/>
      <c r="AQ169" s="381"/>
      <c r="AR169" s="381"/>
      <c r="AS169" s="381"/>
      <c r="AT169" s="381"/>
      <c r="AU169" s="381"/>
    </row>
    <row r="170" spans="1:47" s="382" customFormat="1" ht="18" customHeight="1" x14ac:dyDescent="0.45">
      <c r="A170" s="369"/>
      <c r="B170" s="903"/>
      <c r="C170" s="383" t="s">
        <v>283</v>
      </c>
      <c r="D170" s="384" t="s">
        <v>830</v>
      </c>
      <c r="E170" s="903"/>
      <c r="F170" s="690">
        <v>0</v>
      </c>
      <c r="G170" s="385">
        <v>40</v>
      </c>
      <c r="H170" s="861"/>
      <c r="I170" s="462"/>
      <c r="J170" s="463"/>
      <c r="K170" s="392"/>
      <c r="L170" s="389"/>
      <c r="M170" s="907"/>
      <c r="N170" s="880"/>
      <c r="O170" s="883"/>
      <c r="P170" s="883"/>
      <c r="Q170" s="872"/>
      <c r="R170" s="378"/>
      <c r="S170" s="691"/>
      <c r="T170" s="692"/>
      <c r="U170" s="692"/>
      <c r="V170" s="692"/>
      <c r="W170" s="692"/>
      <c r="X170" s="692"/>
      <c r="Y170" s="693"/>
      <c r="Z170" s="379"/>
      <c r="AA170" s="381"/>
      <c r="AB170" s="381"/>
      <c r="AC170" s="381"/>
      <c r="AD170" s="381"/>
      <c r="AE170" s="381"/>
      <c r="AF170" s="381"/>
      <c r="AG170" s="381"/>
      <c r="AH170" s="381"/>
      <c r="AI170" s="381"/>
      <c r="AJ170" s="381"/>
      <c r="AK170" s="381"/>
      <c r="AL170" s="381"/>
      <c r="AM170" s="381"/>
      <c r="AN170" s="381"/>
      <c r="AO170" s="381"/>
      <c r="AP170" s="381"/>
      <c r="AQ170" s="381"/>
      <c r="AR170" s="381"/>
      <c r="AS170" s="381"/>
      <c r="AT170" s="381"/>
      <c r="AU170" s="381"/>
    </row>
    <row r="171" spans="1:47" s="382" customFormat="1" ht="18" customHeight="1" x14ac:dyDescent="0.45">
      <c r="A171" s="369"/>
      <c r="B171" s="903"/>
      <c r="C171" s="383" t="s">
        <v>268</v>
      </c>
      <c r="D171" s="384" t="s">
        <v>831</v>
      </c>
      <c r="E171" s="903"/>
      <c r="F171" s="690">
        <v>0</v>
      </c>
      <c r="G171" s="385">
        <v>40</v>
      </c>
      <c r="H171" s="861"/>
      <c r="I171" s="462"/>
      <c r="J171" s="463"/>
      <c r="K171" s="392"/>
      <c r="L171" s="389"/>
      <c r="M171" s="907"/>
      <c r="N171" s="880"/>
      <c r="O171" s="883"/>
      <c r="P171" s="883"/>
      <c r="Q171" s="872"/>
      <c r="R171" s="378"/>
      <c r="S171" s="691"/>
      <c r="T171" s="692"/>
      <c r="U171" s="692"/>
      <c r="V171" s="692"/>
      <c r="W171" s="692"/>
      <c r="X171" s="692"/>
      <c r="Y171" s="693"/>
      <c r="Z171" s="379"/>
      <c r="AA171" s="381"/>
      <c r="AB171" s="381"/>
      <c r="AC171" s="381"/>
      <c r="AD171" s="381"/>
      <c r="AE171" s="381"/>
      <c r="AF171" s="381"/>
      <c r="AG171" s="381"/>
      <c r="AH171" s="381"/>
      <c r="AI171" s="381"/>
      <c r="AJ171" s="381"/>
      <c r="AK171" s="381"/>
      <c r="AL171" s="381"/>
      <c r="AM171" s="381"/>
      <c r="AN171" s="381"/>
      <c r="AO171" s="381"/>
      <c r="AP171" s="381"/>
      <c r="AQ171" s="381"/>
      <c r="AR171" s="381"/>
      <c r="AS171" s="381"/>
      <c r="AT171" s="381"/>
      <c r="AU171" s="381"/>
    </row>
    <row r="172" spans="1:47" s="382" customFormat="1" ht="18" customHeight="1" x14ac:dyDescent="0.45">
      <c r="A172" s="369"/>
      <c r="B172" s="903"/>
      <c r="C172" s="383" t="s">
        <v>394</v>
      </c>
      <c r="D172" s="384" t="s">
        <v>331</v>
      </c>
      <c r="E172" s="903"/>
      <c r="F172" s="690">
        <v>0</v>
      </c>
      <c r="G172" s="385">
        <v>25</v>
      </c>
      <c r="H172" s="861"/>
      <c r="I172" s="462"/>
      <c r="J172" s="463"/>
      <c r="K172" s="392"/>
      <c r="L172" s="389"/>
      <c r="M172" s="907"/>
      <c r="N172" s="880"/>
      <c r="O172" s="883"/>
      <c r="P172" s="883"/>
      <c r="Q172" s="872"/>
      <c r="R172" s="378"/>
      <c r="S172" s="691"/>
      <c r="T172" s="692"/>
      <c r="U172" s="692"/>
      <c r="V172" s="692"/>
      <c r="W172" s="692"/>
      <c r="X172" s="692"/>
      <c r="Y172" s="693"/>
      <c r="Z172" s="379"/>
      <c r="AA172" s="381"/>
      <c r="AB172" s="381"/>
      <c r="AC172" s="381"/>
      <c r="AD172" s="381"/>
      <c r="AE172" s="381"/>
      <c r="AF172" s="381"/>
      <c r="AG172" s="381"/>
      <c r="AH172" s="381"/>
      <c r="AI172" s="381"/>
      <c r="AJ172" s="381"/>
      <c r="AK172" s="381"/>
      <c r="AL172" s="381"/>
      <c r="AM172" s="381"/>
      <c r="AN172" s="381"/>
      <c r="AO172" s="381"/>
      <c r="AP172" s="381"/>
      <c r="AQ172" s="381"/>
      <c r="AR172" s="381"/>
      <c r="AS172" s="381"/>
      <c r="AT172" s="381"/>
      <c r="AU172" s="381"/>
    </row>
    <row r="173" spans="1:47" s="382" customFormat="1" ht="18" customHeight="1" x14ac:dyDescent="0.45">
      <c r="A173" s="369"/>
      <c r="B173" s="903"/>
      <c r="C173" s="383" t="s">
        <v>757</v>
      </c>
      <c r="D173" s="384" t="s">
        <v>334</v>
      </c>
      <c r="E173" s="903"/>
      <c r="F173" s="690">
        <v>0</v>
      </c>
      <c r="G173" s="385">
        <v>25</v>
      </c>
      <c r="H173" s="862"/>
      <c r="I173" s="467"/>
      <c r="J173" s="468"/>
      <c r="K173" s="395">
        <f>ROUND(F173/G173,3)</f>
        <v>0</v>
      </c>
      <c r="L173" s="389"/>
      <c r="M173" s="907"/>
      <c r="N173" s="880"/>
      <c r="O173" s="883"/>
      <c r="P173" s="883"/>
      <c r="Q173" s="872"/>
      <c r="R173" s="378"/>
      <c r="S173" s="808"/>
      <c r="T173" s="809"/>
      <c r="U173" s="809"/>
      <c r="V173" s="809"/>
      <c r="W173" s="809"/>
      <c r="X173" s="809"/>
      <c r="Y173" s="810"/>
      <c r="Z173" s="379"/>
      <c r="AA173" s="381"/>
      <c r="AB173" s="381"/>
      <c r="AC173" s="381"/>
      <c r="AD173" s="381"/>
      <c r="AE173" s="381"/>
      <c r="AF173" s="381"/>
      <c r="AG173" s="381"/>
      <c r="AH173" s="381"/>
      <c r="AI173" s="381"/>
      <c r="AJ173" s="381"/>
      <c r="AK173" s="381"/>
      <c r="AL173" s="381"/>
      <c r="AM173" s="381"/>
      <c r="AN173" s="381"/>
      <c r="AO173" s="381"/>
      <c r="AP173" s="381"/>
      <c r="AQ173" s="381"/>
      <c r="AR173" s="381"/>
      <c r="AS173" s="381"/>
      <c r="AT173" s="381"/>
      <c r="AU173" s="381"/>
    </row>
    <row r="174" spans="1:47" s="382" customFormat="1" ht="18" customHeight="1" thickBot="1" x14ac:dyDescent="0.5">
      <c r="A174" s="369"/>
      <c r="B174" s="421" t="s">
        <v>380</v>
      </c>
      <c r="C174" s="874" t="s">
        <v>832</v>
      </c>
      <c r="D174" s="875"/>
      <c r="E174" s="699">
        <v>0</v>
      </c>
      <c r="F174" s="398"/>
      <c r="G174" s="400">
        <v>100</v>
      </c>
      <c r="H174" s="400">
        <v>2</v>
      </c>
      <c r="I174" s="406">
        <f>ROUND(E174*H174,0)</f>
        <v>0</v>
      </c>
      <c r="J174" s="402">
        <f>G174*H174</f>
        <v>200</v>
      </c>
      <c r="K174" s="403">
        <f>ROUND(I174/J174,3)</f>
        <v>0</v>
      </c>
      <c r="L174" s="377">
        <f>J174/N$168*P$168</f>
        <v>3.4615384615384617E-2</v>
      </c>
      <c r="M174" s="907"/>
      <c r="N174" s="880"/>
      <c r="O174" s="883"/>
      <c r="P174" s="883"/>
      <c r="Q174" s="872"/>
      <c r="R174" s="378"/>
      <c r="S174" s="808"/>
      <c r="T174" s="809"/>
      <c r="U174" s="809"/>
      <c r="V174" s="809"/>
      <c r="W174" s="809"/>
      <c r="X174" s="809"/>
      <c r="Y174" s="810"/>
      <c r="Z174" s="379"/>
      <c r="AA174" s="380">
        <v>10</v>
      </c>
      <c r="AB174" s="381"/>
      <c r="AC174" s="381"/>
      <c r="AD174" s="381"/>
      <c r="AE174" s="381"/>
      <c r="AF174" s="381"/>
      <c r="AG174" s="381"/>
      <c r="AH174" s="381"/>
      <c r="AI174" s="381"/>
      <c r="AJ174" s="381"/>
      <c r="AK174" s="381"/>
      <c r="AL174" s="381"/>
      <c r="AM174" s="381"/>
      <c r="AN174" s="381"/>
      <c r="AO174" s="381"/>
      <c r="AP174" s="381"/>
      <c r="AQ174" s="381"/>
      <c r="AR174" s="381"/>
      <c r="AS174" s="381"/>
      <c r="AT174" s="381"/>
      <c r="AU174" s="381"/>
    </row>
    <row r="175" spans="1:47" s="382" customFormat="1" ht="18" customHeight="1" thickBot="1" x14ac:dyDescent="0.5">
      <c r="A175" s="369"/>
      <c r="B175" s="396" t="s">
        <v>381</v>
      </c>
      <c r="C175" s="874" t="s">
        <v>382</v>
      </c>
      <c r="D175" s="875"/>
      <c r="E175" s="397">
        <f>IF(SUM(F176:F181)&lt;AA175,0,IF(SUM(F176:F181)&gt;100,100,SUM(F176:F181)))</f>
        <v>0</v>
      </c>
      <c r="F175" s="398"/>
      <c r="G175" s="400">
        <v>100</v>
      </c>
      <c r="H175" s="400">
        <v>2</v>
      </c>
      <c r="I175" s="406">
        <f>ROUND(E175*H175,0)</f>
        <v>0</v>
      </c>
      <c r="J175" s="402">
        <f>G175*H175</f>
        <v>200</v>
      </c>
      <c r="K175" s="403">
        <f>ROUND(I175/J175,3)</f>
        <v>0</v>
      </c>
      <c r="L175" s="377">
        <f>J175/N$168*P$168</f>
        <v>3.4615384615384617E-2</v>
      </c>
      <c r="M175" s="907"/>
      <c r="N175" s="880"/>
      <c r="O175" s="883"/>
      <c r="P175" s="883"/>
      <c r="Q175" s="872"/>
      <c r="R175" s="378"/>
      <c r="S175" s="808"/>
      <c r="T175" s="809"/>
      <c r="U175" s="809"/>
      <c r="V175" s="809"/>
      <c r="W175" s="809"/>
      <c r="X175" s="809"/>
      <c r="Y175" s="810"/>
      <c r="Z175" s="379"/>
      <c r="AA175" s="380">
        <v>20</v>
      </c>
      <c r="AB175" s="381"/>
      <c r="AC175" s="381"/>
      <c r="AD175" s="381"/>
      <c r="AE175" s="381"/>
      <c r="AF175" s="381"/>
      <c r="AG175" s="381"/>
      <c r="AH175" s="381"/>
      <c r="AI175" s="381"/>
      <c r="AJ175" s="381"/>
      <c r="AK175" s="381"/>
      <c r="AL175" s="381"/>
      <c r="AM175" s="381"/>
      <c r="AN175" s="381"/>
      <c r="AO175" s="381"/>
      <c r="AP175" s="381"/>
      <c r="AQ175" s="381"/>
      <c r="AR175" s="381"/>
      <c r="AS175" s="381"/>
      <c r="AT175" s="381"/>
      <c r="AU175" s="381"/>
    </row>
    <row r="176" spans="1:47" s="382" customFormat="1" ht="18" customHeight="1" x14ac:dyDescent="0.45">
      <c r="A176" s="369"/>
      <c r="B176" s="857"/>
      <c r="C176" s="383" t="s">
        <v>238</v>
      </c>
      <c r="D176" s="384" t="s">
        <v>383</v>
      </c>
      <c r="E176" s="857"/>
      <c r="F176" s="690">
        <v>0</v>
      </c>
      <c r="G176" s="385">
        <v>30</v>
      </c>
      <c r="H176" s="860"/>
      <c r="I176" s="386"/>
      <c r="J176" s="387"/>
      <c r="K176" s="388">
        <f t="shared" ref="K176:K181" si="14">ROUND(F176/G176,3)</f>
        <v>0</v>
      </c>
      <c r="L176" s="389"/>
      <c r="M176" s="907"/>
      <c r="N176" s="880"/>
      <c r="O176" s="883"/>
      <c r="P176" s="883"/>
      <c r="Q176" s="872"/>
      <c r="R176" s="378"/>
      <c r="S176" s="808"/>
      <c r="T176" s="809"/>
      <c r="U176" s="809"/>
      <c r="V176" s="809"/>
      <c r="W176" s="809"/>
      <c r="X176" s="809"/>
      <c r="Y176" s="810"/>
      <c r="Z176" s="379"/>
      <c r="AA176" s="381"/>
      <c r="AB176" s="381"/>
      <c r="AC176" s="381"/>
      <c r="AD176" s="381"/>
      <c r="AE176" s="381"/>
      <c r="AF176" s="381"/>
      <c r="AG176" s="381"/>
      <c r="AH176" s="381"/>
      <c r="AI176" s="381"/>
      <c r="AJ176" s="381"/>
      <c r="AK176" s="381"/>
      <c r="AL176" s="381"/>
      <c r="AM176" s="381"/>
      <c r="AN176" s="381"/>
      <c r="AO176" s="381"/>
      <c r="AP176" s="381"/>
      <c r="AQ176" s="381"/>
      <c r="AR176" s="381"/>
      <c r="AS176" s="381"/>
      <c r="AT176" s="381"/>
      <c r="AU176" s="381"/>
    </row>
    <row r="177" spans="1:47" s="382" customFormat="1" ht="18" customHeight="1" x14ac:dyDescent="0.45">
      <c r="A177" s="369"/>
      <c r="B177" s="858"/>
      <c r="C177" s="383" t="s">
        <v>240</v>
      </c>
      <c r="D177" s="384" t="s">
        <v>384</v>
      </c>
      <c r="E177" s="858"/>
      <c r="F177" s="690">
        <v>0</v>
      </c>
      <c r="G177" s="385">
        <v>15</v>
      </c>
      <c r="H177" s="861"/>
      <c r="I177" s="390"/>
      <c r="J177" s="391"/>
      <c r="K177" s="392">
        <f t="shared" si="14"/>
        <v>0</v>
      </c>
      <c r="L177" s="389"/>
      <c r="M177" s="907"/>
      <c r="N177" s="880"/>
      <c r="O177" s="883"/>
      <c r="P177" s="883"/>
      <c r="Q177" s="872"/>
      <c r="R177" s="378"/>
      <c r="S177" s="808"/>
      <c r="T177" s="809"/>
      <c r="U177" s="809"/>
      <c r="V177" s="809"/>
      <c r="W177" s="809"/>
      <c r="X177" s="809"/>
      <c r="Y177" s="810"/>
      <c r="Z177" s="379"/>
      <c r="AA177" s="381"/>
      <c r="AB177" s="381"/>
      <c r="AC177" s="381"/>
      <c r="AD177" s="381"/>
      <c r="AE177" s="381"/>
      <c r="AF177" s="381"/>
      <c r="AG177" s="381"/>
      <c r="AH177" s="381"/>
      <c r="AI177" s="381"/>
      <c r="AJ177" s="381"/>
      <c r="AK177" s="381"/>
      <c r="AL177" s="381"/>
      <c r="AM177" s="381"/>
      <c r="AN177" s="381"/>
      <c r="AO177" s="381"/>
      <c r="AP177" s="381"/>
      <c r="AQ177" s="381"/>
      <c r="AR177" s="381"/>
      <c r="AS177" s="381"/>
      <c r="AT177" s="381"/>
      <c r="AU177" s="381"/>
    </row>
    <row r="178" spans="1:47" s="382" customFormat="1" ht="25.5" x14ac:dyDescent="0.45">
      <c r="A178" s="369"/>
      <c r="B178" s="858"/>
      <c r="C178" s="383" t="s">
        <v>242</v>
      </c>
      <c r="D178" s="384" t="s">
        <v>385</v>
      </c>
      <c r="E178" s="858"/>
      <c r="F178" s="690">
        <v>0</v>
      </c>
      <c r="G178" s="385">
        <v>15</v>
      </c>
      <c r="H178" s="861"/>
      <c r="I178" s="390"/>
      <c r="J178" s="391"/>
      <c r="K178" s="392">
        <f t="shared" si="14"/>
        <v>0</v>
      </c>
      <c r="L178" s="389"/>
      <c r="M178" s="907"/>
      <c r="N178" s="880"/>
      <c r="O178" s="883"/>
      <c r="P178" s="883"/>
      <c r="Q178" s="872"/>
      <c r="R178" s="378"/>
      <c r="S178" s="808"/>
      <c r="T178" s="809"/>
      <c r="U178" s="809"/>
      <c r="V178" s="809"/>
      <c r="W178" s="809"/>
      <c r="X178" s="809"/>
      <c r="Y178" s="810"/>
      <c r="Z178" s="379"/>
      <c r="AA178" s="381"/>
      <c r="AB178" s="381"/>
      <c r="AC178" s="381"/>
      <c r="AD178" s="381"/>
      <c r="AE178" s="381"/>
      <c r="AF178" s="381"/>
      <c r="AG178" s="381"/>
      <c r="AH178" s="381"/>
      <c r="AI178" s="381"/>
      <c r="AJ178" s="381"/>
      <c r="AK178" s="381"/>
      <c r="AL178" s="381"/>
      <c r="AM178" s="381"/>
      <c r="AN178" s="381"/>
      <c r="AO178" s="381"/>
      <c r="AP178" s="381"/>
      <c r="AQ178" s="381"/>
      <c r="AR178" s="381"/>
      <c r="AS178" s="381"/>
      <c r="AT178" s="381"/>
      <c r="AU178" s="381"/>
    </row>
    <row r="179" spans="1:47" s="382" customFormat="1" ht="18" customHeight="1" x14ac:dyDescent="0.45">
      <c r="A179" s="369"/>
      <c r="B179" s="858"/>
      <c r="C179" s="383" t="s">
        <v>244</v>
      </c>
      <c r="D179" s="384" t="s">
        <v>386</v>
      </c>
      <c r="E179" s="858"/>
      <c r="F179" s="690">
        <v>0</v>
      </c>
      <c r="G179" s="385">
        <v>10</v>
      </c>
      <c r="H179" s="861"/>
      <c r="I179" s="390"/>
      <c r="J179" s="391"/>
      <c r="K179" s="392">
        <f t="shared" si="14"/>
        <v>0</v>
      </c>
      <c r="L179" s="389"/>
      <c r="M179" s="907"/>
      <c r="N179" s="880"/>
      <c r="O179" s="883"/>
      <c r="P179" s="883"/>
      <c r="Q179" s="872"/>
      <c r="R179" s="378"/>
      <c r="S179" s="808"/>
      <c r="T179" s="809"/>
      <c r="U179" s="809"/>
      <c r="V179" s="809"/>
      <c r="W179" s="809"/>
      <c r="X179" s="809"/>
      <c r="Y179" s="810"/>
      <c r="Z179" s="379"/>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row>
    <row r="180" spans="1:47" s="382" customFormat="1" ht="18" customHeight="1" x14ac:dyDescent="0.45">
      <c r="A180" s="369"/>
      <c r="B180" s="858"/>
      <c r="C180" s="383" t="s">
        <v>246</v>
      </c>
      <c r="D180" s="384" t="s">
        <v>833</v>
      </c>
      <c r="E180" s="858"/>
      <c r="F180" s="690">
        <v>0</v>
      </c>
      <c r="G180" s="385">
        <v>15</v>
      </c>
      <c r="H180" s="861"/>
      <c r="I180" s="390"/>
      <c r="J180" s="391"/>
      <c r="K180" s="392">
        <f t="shared" si="14"/>
        <v>0</v>
      </c>
      <c r="L180" s="389"/>
      <c r="M180" s="907"/>
      <c r="N180" s="880"/>
      <c r="O180" s="883"/>
      <c r="P180" s="883"/>
      <c r="Q180" s="872"/>
      <c r="R180" s="378"/>
      <c r="S180" s="808"/>
      <c r="T180" s="809"/>
      <c r="U180" s="809"/>
      <c r="V180" s="809"/>
      <c r="W180" s="809"/>
      <c r="X180" s="809"/>
      <c r="Y180" s="810"/>
      <c r="Z180" s="379"/>
      <c r="AA180" s="381"/>
      <c r="AB180" s="381"/>
      <c r="AC180" s="381"/>
      <c r="AD180" s="381"/>
      <c r="AE180" s="381"/>
      <c r="AF180" s="381"/>
      <c r="AG180" s="381"/>
      <c r="AH180" s="381"/>
      <c r="AI180" s="381"/>
      <c r="AJ180" s="381"/>
      <c r="AK180" s="381"/>
      <c r="AL180" s="381"/>
      <c r="AM180" s="381"/>
      <c r="AN180" s="381"/>
      <c r="AO180" s="381"/>
      <c r="AP180" s="381"/>
      <c r="AQ180" s="381"/>
      <c r="AR180" s="381"/>
      <c r="AS180" s="381"/>
      <c r="AT180" s="381"/>
      <c r="AU180" s="381"/>
    </row>
    <row r="181" spans="1:47" s="382" customFormat="1" ht="18" customHeight="1" x14ac:dyDescent="0.45">
      <c r="A181" s="369"/>
      <c r="B181" s="859"/>
      <c r="C181" s="383" t="s">
        <v>275</v>
      </c>
      <c r="D181" s="384" t="s">
        <v>387</v>
      </c>
      <c r="E181" s="859"/>
      <c r="F181" s="690">
        <v>0</v>
      </c>
      <c r="G181" s="385">
        <v>15</v>
      </c>
      <c r="H181" s="862"/>
      <c r="I181" s="393"/>
      <c r="J181" s="394"/>
      <c r="K181" s="395">
        <f t="shared" si="14"/>
        <v>0</v>
      </c>
      <c r="L181" s="389"/>
      <c r="M181" s="907"/>
      <c r="N181" s="880"/>
      <c r="O181" s="883"/>
      <c r="P181" s="883"/>
      <c r="Q181" s="872"/>
      <c r="R181" s="378"/>
      <c r="S181" s="808"/>
      <c r="T181" s="809"/>
      <c r="U181" s="809"/>
      <c r="V181" s="809"/>
      <c r="W181" s="809"/>
      <c r="X181" s="809"/>
      <c r="Y181" s="810"/>
      <c r="Z181" s="379"/>
      <c r="AA181" s="381"/>
      <c r="AB181" s="381"/>
      <c r="AC181" s="381"/>
      <c r="AD181" s="381"/>
      <c r="AE181" s="381"/>
      <c r="AF181" s="381"/>
      <c r="AG181" s="381"/>
      <c r="AH181" s="381"/>
      <c r="AI181" s="381"/>
      <c r="AJ181" s="381"/>
      <c r="AK181" s="381"/>
      <c r="AL181" s="381"/>
      <c r="AM181" s="381"/>
      <c r="AN181" s="381"/>
      <c r="AO181" s="381"/>
      <c r="AP181" s="381"/>
      <c r="AQ181" s="381"/>
      <c r="AR181" s="381"/>
      <c r="AS181" s="381"/>
      <c r="AT181" s="381"/>
      <c r="AU181" s="381"/>
    </row>
    <row r="182" spans="1:47" s="382" customFormat="1" ht="18" customHeight="1" thickBot="1" x14ac:dyDescent="0.5">
      <c r="A182" s="369"/>
      <c r="B182" s="405" t="s">
        <v>388</v>
      </c>
      <c r="C182" s="874" t="s">
        <v>389</v>
      </c>
      <c r="D182" s="875"/>
      <c r="E182" s="397">
        <f>IF(SUM(F183:F192)&lt;AA182,0,IF(SUM(F183:F192)&gt;100,100,SUM(F183:F192)))</f>
        <v>0</v>
      </c>
      <c r="F182" s="398"/>
      <c r="G182" s="469">
        <f>SUM(G183:G192)</f>
        <v>100</v>
      </c>
      <c r="H182" s="459">
        <v>1</v>
      </c>
      <c r="I182" s="401">
        <f>ROUND(E182*H182,0)</f>
        <v>0</v>
      </c>
      <c r="J182" s="402">
        <f>G182*H182</f>
        <v>100</v>
      </c>
      <c r="K182" s="403">
        <f>ROUND(I182/J182,3)</f>
        <v>0</v>
      </c>
      <c r="L182" s="377">
        <f>J182/N$168*P$168</f>
        <v>1.7307692307692309E-2</v>
      </c>
      <c r="M182" s="907"/>
      <c r="N182" s="880"/>
      <c r="O182" s="883"/>
      <c r="P182" s="883"/>
      <c r="Q182" s="872"/>
      <c r="R182" s="378"/>
      <c r="S182" s="808"/>
      <c r="T182" s="809"/>
      <c r="U182" s="809"/>
      <c r="V182" s="809"/>
      <c r="W182" s="809"/>
      <c r="X182" s="809"/>
      <c r="Y182" s="810"/>
      <c r="Z182" s="379"/>
      <c r="AA182" s="380">
        <v>10</v>
      </c>
      <c r="AB182" s="381"/>
      <c r="AC182" s="381"/>
      <c r="AD182" s="381"/>
      <c r="AE182" s="381"/>
      <c r="AF182" s="381"/>
      <c r="AG182" s="381"/>
      <c r="AH182" s="381"/>
      <c r="AI182" s="381"/>
      <c r="AJ182" s="381"/>
      <c r="AK182" s="381"/>
      <c r="AL182" s="381"/>
      <c r="AM182" s="381"/>
      <c r="AN182" s="381"/>
      <c r="AO182" s="381"/>
      <c r="AP182" s="381"/>
      <c r="AQ182" s="381"/>
      <c r="AR182" s="381"/>
      <c r="AS182" s="381"/>
      <c r="AT182" s="381"/>
      <c r="AU182" s="381"/>
    </row>
    <row r="183" spans="1:47" s="382" customFormat="1" ht="38.1" customHeight="1" x14ac:dyDescent="0.45">
      <c r="A183" s="369"/>
      <c r="B183" s="857"/>
      <c r="C183" s="383" t="s">
        <v>253</v>
      </c>
      <c r="D183" s="384" t="s">
        <v>834</v>
      </c>
      <c r="E183" s="857"/>
      <c r="F183" s="690">
        <v>0</v>
      </c>
      <c r="G183" s="385">
        <v>15</v>
      </c>
      <c r="H183" s="891"/>
      <c r="I183" s="462"/>
      <c r="J183" s="463"/>
      <c r="K183" s="392">
        <f t="shared" ref="K183:K192" si="15">ROUND(F183/G183,3)</f>
        <v>0</v>
      </c>
      <c r="L183" s="389"/>
      <c r="M183" s="907"/>
      <c r="N183" s="880"/>
      <c r="O183" s="883"/>
      <c r="P183" s="883"/>
      <c r="Q183" s="872"/>
      <c r="R183" s="378"/>
      <c r="S183" s="808"/>
      <c r="T183" s="809"/>
      <c r="U183" s="809"/>
      <c r="V183" s="809"/>
      <c r="W183" s="809"/>
      <c r="X183" s="809"/>
      <c r="Y183" s="810"/>
      <c r="Z183" s="379"/>
      <c r="AA183" s="381"/>
      <c r="AB183" s="381"/>
      <c r="AC183" s="381"/>
      <c r="AD183" s="381"/>
      <c r="AE183" s="381"/>
      <c r="AF183" s="381"/>
      <c r="AG183" s="381"/>
      <c r="AH183" s="381"/>
      <c r="AI183" s="381"/>
      <c r="AJ183" s="381"/>
      <c r="AK183" s="381"/>
      <c r="AL183" s="381"/>
      <c r="AM183" s="381"/>
      <c r="AN183" s="381"/>
      <c r="AO183" s="381"/>
      <c r="AP183" s="381"/>
      <c r="AQ183" s="381"/>
      <c r="AR183" s="381"/>
      <c r="AS183" s="381"/>
      <c r="AT183" s="381"/>
      <c r="AU183" s="381"/>
    </row>
    <row r="184" spans="1:47" s="382" customFormat="1" ht="18" customHeight="1" x14ac:dyDescent="0.45">
      <c r="A184" s="369"/>
      <c r="B184" s="858"/>
      <c r="C184" s="383" t="s">
        <v>265</v>
      </c>
      <c r="D184" s="384" t="s">
        <v>390</v>
      </c>
      <c r="E184" s="858"/>
      <c r="F184" s="690">
        <v>0</v>
      </c>
      <c r="G184" s="385">
        <v>5</v>
      </c>
      <c r="H184" s="891"/>
      <c r="I184" s="462"/>
      <c r="J184" s="463"/>
      <c r="K184" s="392">
        <f t="shared" si="15"/>
        <v>0</v>
      </c>
      <c r="L184" s="389"/>
      <c r="M184" s="907"/>
      <c r="N184" s="880"/>
      <c r="O184" s="883"/>
      <c r="P184" s="883"/>
      <c r="Q184" s="872"/>
      <c r="R184" s="378"/>
      <c r="S184" s="808"/>
      <c r="T184" s="809"/>
      <c r="U184" s="809"/>
      <c r="V184" s="809"/>
      <c r="W184" s="809"/>
      <c r="X184" s="809"/>
      <c r="Y184" s="810"/>
      <c r="Z184" s="379"/>
      <c r="AA184" s="381"/>
      <c r="AB184" s="381"/>
      <c r="AC184" s="381"/>
      <c r="AD184" s="381"/>
      <c r="AE184" s="381"/>
      <c r="AF184" s="381"/>
      <c r="AG184" s="381"/>
      <c r="AH184" s="381"/>
      <c r="AI184" s="381"/>
      <c r="AJ184" s="381"/>
      <c r="AK184" s="381"/>
      <c r="AL184" s="381"/>
      <c r="AM184" s="381"/>
      <c r="AN184" s="381"/>
      <c r="AO184" s="381"/>
      <c r="AP184" s="381"/>
      <c r="AQ184" s="381"/>
      <c r="AR184" s="381"/>
      <c r="AS184" s="381"/>
      <c r="AT184" s="381"/>
      <c r="AU184" s="381"/>
    </row>
    <row r="185" spans="1:47" s="382" customFormat="1" ht="18" customHeight="1" x14ac:dyDescent="0.45">
      <c r="A185" s="369"/>
      <c r="B185" s="858"/>
      <c r="C185" s="383" t="s">
        <v>281</v>
      </c>
      <c r="D185" s="384" t="s">
        <v>835</v>
      </c>
      <c r="E185" s="858"/>
      <c r="F185" s="690">
        <v>0</v>
      </c>
      <c r="G185" s="385">
        <v>10</v>
      </c>
      <c r="H185" s="891"/>
      <c r="I185" s="462"/>
      <c r="J185" s="463"/>
      <c r="K185" s="392">
        <f t="shared" si="15"/>
        <v>0</v>
      </c>
      <c r="L185" s="389"/>
      <c r="M185" s="907"/>
      <c r="N185" s="880"/>
      <c r="O185" s="883"/>
      <c r="P185" s="883"/>
      <c r="Q185" s="872"/>
      <c r="R185" s="378"/>
      <c r="S185" s="808"/>
      <c r="T185" s="809"/>
      <c r="U185" s="809"/>
      <c r="V185" s="809"/>
      <c r="W185" s="809"/>
      <c r="X185" s="809"/>
      <c r="Y185" s="810"/>
      <c r="Z185" s="379"/>
      <c r="AA185" s="381"/>
      <c r="AB185" s="381"/>
      <c r="AC185" s="381"/>
      <c r="AD185" s="381"/>
      <c r="AE185" s="381"/>
      <c r="AF185" s="381"/>
      <c r="AG185" s="381"/>
      <c r="AH185" s="381"/>
      <c r="AI185" s="381"/>
      <c r="AJ185" s="381"/>
      <c r="AK185" s="381"/>
      <c r="AL185" s="381"/>
      <c r="AM185" s="381"/>
      <c r="AN185" s="381"/>
      <c r="AO185" s="381"/>
      <c r="AP185" s="381"/>
      <c r="AQ185" s="381"/>
      <c r="AR185" s="381"/>
      <c r="AS185" s="381"/>
      <c r="AT185" s="381"/>
      <c r="AU185" s="381"/>
    </row>
    <row r="186" spans="1:47" s="382" customFormat="1" ht="18" customHeight="1" x14ac:dyDescent="0.45">
      <c r="A186" s="369"/>
      <c r="B186" s="858"/>
      <c r="C186" s="383" t="s">
        <v>836</v>
      </c>
      <c r="D186" s="384" t="s">
        <v>837</v>
      </c>
      <c r="E186" s="858"/>
      <c r="F186" s="690">
        <v>0</v>
      </c>
      <c r="G186" s="385">
        <v>10</v>
      </c>
      <c r="H186" s="891"/>
      <c r="I186" s="462"/>
      <c r="J186" s="463"/>
      <c r="K186" s="392">
        <f t="shared" si="15"/>
        <v>0</v>
      </c>
      <c r="L186" s="389"/>
      <c r="M186" s="907"/>
      <c r="N186" s="880"/>
      <c r="O186" s="883"/>
      <c r="P186" s="883"/>
      <c r="Q186" s="872"/>
      <c r="R186" s="378"/>
      <c r="S186" s="808"/>
      <c r="T186" s="809"/>
      <c r="U186" s="809"/>
      <c r="V186" s="809"/>
      <c r="W186" s="809"/>
      <c r="X186" s="809"/>
      <c r="Y186" s="810"/>
      <c r="Z186" s="379"/>
      <c r="AA186" s="381"/>
      <c r="AB186" s="381"/>
      <c r="AC186" s="381"/>
      <c r="AD186" s="381"/>
      <c r="AE186" s="381"/>
      <c r="AF186" s="381"/>
      <c r="AG186" s="381"/>
      <c r="AH186" s="381"/>
      <c r="AI186" s="381"/>
      <c r="AJ186" s="381"/>
      <c r="AK186" s="381"/>
      <c r="AL186" s="381"/>
      <c r="AM186" s="381"/>
      <c r="AN186" s="381"/>
      <c r="AO186" s="381"/>
      <c r="AP186" s="381"/>
      <c r="AQ186" s="381"/>
      <c r="AR186" s="381"/>
      <c r="AS186" s="381"/>
      <c r="AT186" s="381"/>
      <c r="AU186" s="381"/>
    </row>
    <row r="187" spans="1:47" s="382" customFormat="1" ht="18" customHeight="1" x14ac:dyDescent="0.45">
      <c r="A187" s="369"/>
      <c r="B187" s="858"/>
      <c r="C187" s="383" t="s">
        <v>838</v>
      </c>
      <c r="D187" s="384" t="s">
        <v>839</v>
      </c>
      <c r="E187" s="858"/>
      <c r="F187" s="690">
        <v>0</v>
      </c>
      <c r="G187" s="385">
        <v>5</v>
      </c>
      <c r="H187" s="891"/>
      <c r="I187" s="462"/>
      <c r="J187" s="463"/>
      <c r="K187" s="392">
        <f t="shared" si="15"/>
        <v>0</v>
      </c>
      <c r="L187" s="389"/>
      <c r="M187" s="907"/>
      <c r="N187" s="880"/>
      <c r="O187" s="883"/>
      <c r="P187" s="883"/>
      <c r="Q187" s="872"/>
      <c r="R187" s="378"/>
      <c r="S187" s="808"/>
      <c r="T187" s="809"/>
      <c r="U187" s="809"/>
      <c r="V187" s="809"/>
      <c r="W187" s="809"/>
      <c r="X187" s="809"/>
      <c r="Y187" s="810"/>
      <c r="Z187" s="379"/>
      <c r="AA187" s="381"/>
      <c r="AB187" s="381"/>
      <c r="AC187" s="381"/>
      <c r="AD187" s="381"/>
      <c r="AE187" s="381"/>
      <c r="AF187" s="381"/>
      <c r="AG187" s="381"/>
      <c r="AH187" s="381"/>
      <c r="AI187" s="381"/>
      <c r="AJ187" s="381"/>
      <c r="AK187" s="381"/>
      <c r="AL187" s="381"/>
      <c r="AM187" s="381"/>
      <c r="AN187" s="381"/>
      <c r="AO187" s="381"/>
      <c r="AP187" s="381"/>
      <c r="AQ187" s="381"/>
      <c r="AR187" s="381"/>
      <c r="AS187" s="381"/>
      <c r="AT187" s="381"/>
      <c r="AU187" s="381"/>
    </row>
    <row r="188" spans="1:47" s="382" customFormat="1" ht="18" customHeight="1" x14ac:dyDescent="0.45">
      <c r="A188" s="369"/>
      <c r="B188" s="858"/>
      <c r="C188" s="383" t="s">
        <v>840</v>
      </c>
      <c r="D188" s="470" t="s">
        <v>391</v>
      </c>
      <c r="E188" s="858"/>
      <c r="F188" s="690">
        <v>0</v>
      </c>
      <c r="G188" s="385">
        <v>5</v>
      </c>
      <c r="H188" s="891"/>
      <c r="I188" s="462"/>
      <c r="J188" s="463"/>
      <c r="K188" s="392">
        <f t="shared" si="15"/>
        <v>0</v>
      </c>
      <c r="L188" s="389"/>
      <c r="M188" s="907"/>
      <c r="N188" s="880"/>
      <c r="O188" s="883"/>
      <c r="P188" s="883"/>
      <c r="Q188" s="872"/>
      <c r="R188" s="378"/>
      <c r="S188" s="808"/>
      <c r="T188" s="809"/>
      <c r="U188" s="809"/>
      <c r="V188" s="809"/>
      <c r="W188" s="809"/>
      <c r="X188" s="809"/>
      <c r="Y188" s="810"/>
      <c r="Z188" s="379"/>
      <c r="AA188" s="381"/>
      <c r="AB188" s="381"/>
      <c r="AC188" s="381"/>
      <c r="AD188" s="381"/>
      <c r="AE188" s="381"/>
      <c r="AF188" s="381"/>
      <c r="AG188" s="381"/>
      <c r="AH188" s="381"/>
      <c r="AI188" s="381"/>
      <c r="AJ188" s="381"/>
      <c r="AK188" s="381"/>
      <c r="AL188" s="381"/>
      <c r="AM188" s="381"/>
      <c r="AN188" s="381"/>
      <c r="AO188" s="381"/>
      <c r="AP188" s="381"/>
      <c r="AQ188" s="381"/>
      <c r="AR188" s="381"/>
      <c r="AS188" s="381"/>
      <c r="AT188" s="381"/>
      <c r="AU188" s="381"/>
    </row>
    <row r="189" spans="1:47" s="382" customFormat="1" ht="18" customHeight="1" x14ac:dyDescent="0.45">
      <c r="A189" s="369"/>
      <c r="B189" s="858"/>
      <c r="C189" s="383" t="s">
        <v>283</v>
      </c>
      <c r="D189" s="423" t="s">
        <v>393</v>
      </c>
      <c r="E189" s="858"/>
      <c r="F189" s="690">
        <v>0</v>
      </c>
      <c r="G189" s="385">
        <v>12.5</v>
      </c>
      <c r="H189" s="891"/>
      <c r="I189" s="462"/>
      <c r="J189" s="463"/>
      <c r="K189" s="392">
        <f t="shared" si="15"/>
        <v>0</v>
      </c>
      <c r="L189" s="389"/>
      <c r="M189" s="907"/>
      <c r="N189" s="880"/>
      <c r="O189" s="883"/>
      <c r="P189" s="883"/>
      <c r="Q189" s="872"/>
      <c r="R189" s="378"/>
      <c r="S189" s="808"/>
      <c r="T189" s="809"/>
      <c r="U189" s="809"/>
      <c r="V189" s="809"/>
      <c r="W189" s="809"/>
      <c r="X189" s="809"/>
      <c r="Y189" s="810"/>
      <c r="Z189" s="379"/>
      <c r="AA189" s="381"/>
      <c r="AB189" s="381"/>
      <c r="AC189" s="381"/>
      <c r="AD189" s="381"/>
      <c r="AE189" s="381"/>
      <c r="AF189" s="381"/>
      <c r="AG189" s="381"/>
      <c r="AH189" s="381"/>
      <c r="AI189" s="381"/>
      <c r="AJ189" s="381"/>
      <c r="AK189" s="381"/>
      <c r="AL189" s="381"/>
      <c r="AM189" s="381"/>
      <c r="AN189" s="381"/>
      <c r="AO189" s="381"/>
      <c r="AP189" s="381"/>
      <c r="AQ189" s="381"/>
      <c r="AR189" s="381"/>
      <c r="AS189" s="381"/>
      <c r="AT189" s="381"/>
      <c r="AU189" s="381"/>
    </row>
    <row r="190" spans="1:47" s="382" customFormat="1" ht="18" customHeight="1" x14ac:dyDescent="0.45">
      <c r="A190" s="369"/>
      <c r="B190" s="858"/>
      <c r="C190" s="383" t="s">
        <v>268</v>
      </c>
      <c r="D190" s="423" t="s">
        <v>395</v>
      </c>
      <c r="E190" s="858"/>
      <c r="F190" s="690">
        <v>0</v>
      </c>
      <c r="G190" s="385">
        <v>12.5</v>
      </c>
      <c r="H190" s="891"/>
      <c r="I190" s="462"/>
      <c r="J190" s="463"/>
      <c r="K190" s="392">
        <f t="shared" si="15"/>
        <v>0</v>
      </c>
      <c r="L190" s="389"/>
      <c r="M190" s="907"/>
      <c r="N190" s="880"/>
      <c r="O190" s="883"/>
      <c r="P190" s="883"/>
      <c r="Q190" s="872"/>
      <c r="R190" s="378"/>
      <c r="S190" s="808"/>
      <c r="T190" s="809"/>
      <c r="U190" s="809"/>
      <c r="V190" s="809"/>
      <c r="W190" s="809"/>
      <c r="X190" s="809"/>
      <c r="Y190" s="810"/>
      <c r="Z190" s="379"/>
      <c r="AA190" s="381"/>
      <c r="AB190" s="381"/>
      <c r="AC190" s="381"/>
      <c r="AD190" s="381"/>
      <c r="AE190" s="381"/>
      <c r="AF190" s="381"/>
      <c r="AG190" s="381"/>
      <c r="AH190" s="381"/>
      <c r="AI190" s="381"/>
      <c r="AJ190" s="381"/>
      <c r="AK190" s="381"/>
      <c r="AL190" s="381"/>
      <c r="AM190" s="381"/>
      <c r="AN190" s="381"/>
      <c r="AO190" s="381"/>
      <c r="AP190" s="381"/>
      <c r="AQ190" s="381"/>
      <c r="AR190" s="381"/>
      <c r="AS190" s="381"/>
      <c r="AT190" s="381"/>
      <c r="AU190" s="381"/>
    </row>
    <row r="191" spans="1:47" s="382" customFormat="1" ht="25.5" x14ac:dyDescent="0.45">
      <c r="A191" s="369"/>
      <c r="B191" s="858"/>
      <c r="C191" s="383" t="s">
        <v>392</v>
      </c>
      <c r="D191" s="384" t="s">
        <v>397</v>
      </c>
      <c r="E191" s="858"/>
      <c r="F191" s="690">
        <v>0</v>
      </c>
      <c r="G191" s="385">
        <v>15</v>
      </c>
      <c r="H191" s="891"/>
      <c r="I191" s="462"/>
      <c r="J191" s="463"/>
      <c r="K191" s="392">
        <f t="shared" si="15"/>
        <v>0</v>
      </c>
      <c r="L191" s="389"/>
      <c r="M191" s="907"/>
      <c r="N191" s="880"/>
      <c r="O191" s="883"/>
      <c r="P191" s="883"/>
      <c r="Q191" s="872"/>
      <c r="R191" s="378"/>
      <c r="S191" s="808"/>
      <c r="T191" s="809"/>
      <c r="U191" s="809"/>
      <c r="V191" s="809"/>
      <c r="W191" s="809"/>
      <c r="X191" s="809"/>
      <c r="Y191" s="810"/>
      <c r="Z191" s="379"/>
      <c r="AA191" s="381"/>
      <c r="AB191" s="381"/>
      <c r="AC191" s="381"/>
      <c r="AD191" s="381"/>
      <c r="AE191" s="381"/>
      <c r="AF191" s="381"/>
      <c r="AG191" s="381"/>
      <c r="AH191" s="381"/>
      <c r="AI191" s="381"/>
      <c r="AJ191" s="381"/>
      <c r="AK191" s="381"/>
      <c r="AL191" s="381"/>
      <c r="AM191" s="381"/>
      <c r="AN191" s="381"/>
      <c r="AO191" s="381"/>
      <c r="AP191" s="381"/>
      <c r="AQ191" s="381"/>
      <c r="AR191" s="381"/>
      <c r="AS191" s="381"/>
      <c r="AT191" s="381"/>
      <c r="AU191" s="381"/>
    </row>
    <row r="192" spans="1:47" s="382" customFormat="1" ht="18" customHeight="1" x14ac:dyDescent="0.45">
      <c r="A192" s="369"/>
      <c r="B192" s="859"/>
      <c r="C192" s="383" t="s">
        <v>394</v>
      </c>
      <c r="D192" s="384" t="s">
        <v>399</v>
      </c>
      <c r="E192" s="858"/>
      <c r="F192" s="690">
        <v>0</v>
      </c>
      <c r="G192" s="385">
        <v>10</v>
      </c>
      <c r="H192" s="909"/>
      <c r="I192" s="467"/>
      <c r="J192" s="468"/>
      <c r="K192" s="395">
        <f t="shared" si="15"/>
        <v>0</v>
      </c>
      <c r="L192" s="389"/>
      <c r="M192" s="907"/>
      <c r="N192" s="880"/>
      <c r="O192" s="883"/>
      <c r="P192" s="883"/>
      <c r="Q192" s="872"/>
      <c r="R192" s="378"/>
      <c r="S192" s="808"/>
      <c r="T192" s="809"/>
      <c r="U192" s="809"/>
      <c r="V192" s="809"/>
      <c r="W192" s="809"/>
      <c r="X192" s="809"/>
      <c r="Y192" s="810"/>
      <c r="Z192" s="379"/>
      <c r="AA192" s="381"/>
      <c r="AB192" s="381"/>
      <c r="AC192" s="381"/>
      <c r="AD192" s="381"/>
      <c r="AE192" s="381"/>
      <c r="AF192" s="381"/>
      <c r="AG192" s="381"/>
      <c r="AH192" s="381"/>
      <c r="AI192" s="381"/>
      <c r="AJ192" s="381"/>
      <c r="AK192" s="381"/>
      <c r="AL192" s="381"/>
      <c r="AM192" s="381"/>
      <c r="AN192" s="381"/>
      <c r="AO192" s="381"/>
      <c r="AP192" s="381"/>
      <c r="AQ192" s="381"/>
      <c r="AR192" s="381"/>
      <c r="AS192" s="381"/>
      <c r="AT192" s="381"/>
      <c r="AU192" s="381"/>
    </row>
    <row r="193" spans="1:47" s="382" customFormat="1" ht="18" customHeight="1" thickBot="1" x14ac:dyDescent="0.5">
      <c r="A193" s="369"/>
      <c r="B193" s="396" t="s">
        <v>400</v>
      </c>
      <c r="C193" s="874" t="s">
        <v>841</v>
      </c>
      <c r="D193" s="875"/>
      <c r="E193" s="397">
        <f>IF(SUM(F194:F199)&lt;AA193,0,IF(SUM(F194:F199)&gt;100,100,SUM(F194:F199)))</f>
        <v>0</v>
      </c>
      <c r="F193" s="398"/>
      <c r="G193" s="399">
        <f>SUM(G194:G199)</f>
        <v>100</v>
      </c>
      <c r="H193" s="400">
        <v>2</v>
      </c>
      <c r="I193" s="401">
        <f>ROUND(E193*H193,0)</f>
        <v>0</v>
      </c>
      <c r="J193" s="402">
        <f>G193*H193</f>
        <v>200</v>
      </c>
      <c r="K193" s="403">
        <f>ROUND(I193/J193,3)</f>
        <v>0</v>
      </c>
      <c r="L193" s="377">
        <f>J193/N$168*P$168</f>
        <v>3.4615384615384617E-2</v>
      </c>
      <c r="M193" s="907"/>
      <c r="N193" s="880"/>
      <c r="O193" s="883"/>
      <c r="P193" s="883"/>
      <c r="Q193" s="872"/>
      <c r="R193" s="378"/>
      <c r="S193" s="808"/>
      <c r="T193" s="809"/>
      <c r="U193" s="809"/>
      <c r="V193" s="809"/>
      <c r="W193" s="809"/>
      <c r="X193" s="809"/>
      <c r="Y193" s="810"/>
      <c r="Z193" s="379"/>
      <c r="AA193" s="380">
        <v>20</v>
      </c>
      <c r="AB193" s="381"/>
      <c r="AC193" s="381"/>
      <c r="AD193" s="381"/>
      <c r="AE193" s="381"/>
      <c r="AF193" s="381"/>
      <c r="AG193" s="381"/>
      <c r="AH193" s="381"/>
      <c r="AI193" s="381"/>
      <c r="AJ193" s="381"/>
      <c r="AK193" s="381"/>
      <c r="AL193" s="381"/>
      <c r="AM193" s="381"/>
      <c r="AN193" s="381"/>
      <c r="AO193" s="381"/>
      <c r="AP193" s="381"/>
      <c r="AQ193" s="381"/>
      <c r="AR193" s="381"/>
      <c r="AS193" s="381"/>
      <c r="AT193" s="381"/>
      <c r="AU193" s="381"/>
    </row>
    <row r="194" spans="1:47" s="382" customFormat="1" ht="18" customHeight="1" x14ac:dyDescent="0.45">
      <c r="A194" s="369"/>
      <c r="B194" s="857"/>
      <c r="C194" s="383" t="s">
        <v>238</v>
      </c>
      <c r="D194" s="384" t="s">
        <v>401</v>
      </c>
      <c r="E194" s="857"/>
      <c r="F194" s="690">
        <v>0</v>
      </c>
      <c r="G194" s="385">
        <v>15</v>
      </c>
      <c r="H194" s="860"/>
      <c r="I194" s="460"/>
      <c r="J194" s="461"/>
      <c r="K194" s="388">
        <f t="shared" ref="K194:K199" si="16">ROUND(F194/G194,3)</f>
        <v>0</v>
      </c>
      <c r="L194" s="389"/>
      <c r="M194" s="907"/>
      <c r="N194" s="880"/>
      <c r="O194" s="883"/>
      <c r="P194" s="883"/>
      <c r="Q194" s="872"/>
      <c r="R194" s="378"/>
      <c r="S194" s="808"/>
      <c r="T194" s="809"/>
      <c r="U194" s="809"/>
      <c r="V194" s="809"/>
      <c r="W194" s="809"/>
      <c r="X194" s="809"/>
      <c r="Y194" s="810"/>
      <c r="Z194" s="379"/>
      <c r="AA194" s="381"/>
      <c r="AB194" s="381"/>
      <c r="AC194" s="381"/>
      <c r="AD194" s="381"/>
      <c r="AE194" s="381"/>
      <c r="AF194" s="381"/>
      <c r="AG194" s="381"/>
      <c r="AH194" s="381"/>
      <c r="AI194" s="381"/>
      <c r="AJ194" s="381"/>
      <c r="AK194" s="381"/>
      <c r="AL194" s="381"/>
      <c r="AM194" s="381"/>
      <c r="AN194" s="381"/>
      <c r="AO194" s="381"/>
      <c r="AP194" s="381"/>
      <c r="AQ194" s="381"/>
      <c r="AR194" s="381"/>
      <c r="AS194" s="381"/>
      <c r="AT194" s="381"/>
      <c r="AU194" s="381"/>
    </row>
    <row r="195" spans="1:47" s="382" customFormat="1" ht="18" customHeight="1" x14ac:dyDescent="0.45">
      <c r="A195" s="369"/>
      <c r="B195" s="858"/>
      <c r="C195" s="383" t="s">
        <v>240</v>
      </c>
      <c r="D195" s="384" t="s">
        <v>842</v>
      </c>
      <c r="E195" s="858"/>
      <c r="F195" s="690">
        <v>0</v>
      </c>
      <c r="G195" s="385">
        <v>20</v>
      </c>
      <c r="H195" s="861"/>
      <c r="I195" s="462"/>
      <c r="J195" s="463"/>
      <c r="K195" s="392">
        <f t="shared" si="16"/>
        <v>0</v>
      </c>
      <c r="L195" s="389"/>
      <c r="M195" s="907"/>
      <c r="N195" s="880"/>
      <c r="O195" s="883"/>
      <c r="P195" s="883"/>
      <c r="Q195" s="872"/>
      <c r="R195" s="378"/>
      <c r="S195" s="808"/>
      <c r="T195" s="809"/>
      <c r="U195" s="809"/>
      <c r="V195" s="809"/>
      <c r="W195" s="809"/>
      <c r="X195" s="809"/>
      <c r="Y195" s="810"/>
      <c r="Z195" s="379"/>
      <c r="AA195" s="381"/>
      <c r="AB195" s="381"/>
      <c r="AC195" s="381"/>
      <c r="AD195" s="381"/>
      <c r="AE195" s="381"/>
      <c r="AF195" s="381"/>
      <c r="AG195" s="381"/>
      <c r="AH195" s="381"/>
      <c r="AI195" s="381"/>
      <c r="AJ195" s="381"/>
      <c r="AK195" s="381"/>
      <c r="AL195" s="381"/>
      <c r="AM195" s="381"/>
      <c r="AN195" s="381"/>
      <c r="AO195" s="381"/>
      <c r="AP195" s="381"/>
      <c r="AQ195" s="381"/>
      <c r="AR195" s="381"/>
      <c r="AS195" s="381"/>
      <c r="AT195" s="381"/>
      <c r="AU195" s="381"/>
    </row>
    <row r="196" spans="1:47" s="382" customFormat="1" ht="18" customHeight="1" x14ac:dyDescent="0.45">
      <c r="A196" s="369"/>
      <c r="B196" s="858"/>
      <c r="C196" s="383" t="s">
        <v>392</v>
      </c>
      <c r="D196" s="384" t="s">
        <v>402</v>
      </c>
      <c r="E196" s="858"/>
      <c r="F196" s="690">
        <v>0</v>
      </c>
      <c r="G196" s="385">
        <v>20</v>
      </c>
      <c r="H196" s="861"/>
      <c r="I196" s="462"/>
      <c r="J196" s="463"/>
      <c r="K196" s="392">
        <f t="shared" si="16"/>
        <v>0</v>
      </c>
      <c r="L196" s="389"/>
      <c r="M196" s="907"/>
      <c r="N196" s="880"/>
      <c r="O196" s="883"/>
      <c r="P196" s="883"/>
      <c r="Q196" s="872"/>
      <c r="R196" s="378"/>
      <c r="S196" s="808"/>
      <c r="T196" s="809"/>
      <c r="U196" s="809"/>
      <c r="V196" s="809"/>
      <c r="W196" s="809"/>
      <c r="X196" s="809"/>
      <c r="Y196" s="810"/>
      <c r="Z196" s="379"/>
      <c r="AA196" s="381"/>
      <c r="AB196" s="381"/>
      <c r="AC196" s="381"/>
      <c r="AD196" s="381"/>
      <c r="AE196" s="381"/>
      <c r="AF196" s="381"/>
      <c r="AG196" s="381"/>
      <c r="AH196" s="381"/>
      <c r="AI196" s="381"/>
      <c r="AJ196" s="381"/>
      <c r="AK196" s="381"/>
      <c r="AL196" s="381"/>
      <c r="AM196" s="381"/>
      <c r="AN196" s="381"/>
      <c r="AO196" s="381"/>
      <c r="AP196" s="381"/>
      <c r="AQ196" s="381"/>
      <c r="AR196" s="381"/>
      <c r="AS196" s="381"/>
      <c r="AT196" s="381"/>
      <c r="AU196" s="381"/>
    </row>
    <row r="197" spans="1:47" s="382" customFormat="1" ht="18" customHeight="1" x14ac:dyDescent="0.45">
      <c r="A197" s="369"/>
      <c r="B197" s="858"/>
      <c r="C197" s="383" t="s">
        <v>394</v>
      </c>
      <c r="D197" s="384" t="s">
        <v>403</v>
      </c>
      <c r="E197" s="858"/>
      <c r="F197" s="690">
        <v>0</v>
      </c>
      <c r="G197" s="385">
        <v>20</v>
      </c>
      <c r="H197" s="861"/>
      <c r="I197" s="462"/>
      <c r="J197" s="463"/>
      <c r="K197" s="392">
        <f t="shared" si="16"/>
        <v>0</v>
      </c>
      <c r="L197" s="389"/>
      <c r="M197" s="907"/>
      <c r="N197" s="880"/>
      <c r="O197" s="883"/>
      <c r="P197" s="883"/>
      <c r="Q197" s="872"/>
      <c r="R197" s="378"/>
      <c r="S197" s="808"/>
      <c r="T197" s="809"/>
      <c r="U197" s="809"/>
      <c r="V197" s="809"/>
      <c r="W197" s="809"/>
      <c r="X197" s="809"/>
      <c r="Y197" s="810"/>
      <c r="Z197" s="379"/>
      <c r="AA197" s="381"/>
      <c r="AB197" s="381"/>
      <c r="AC197" s="381"/>
      <c r="AD197" s="381"/>
      <c r="AE197" s="381"/>
      <c r="AF197" s="381"/>
      <c r="AG197" s="381"/>
      <c r="AH197" s="381"/>
      <c r="AI197" s="381"/>
      <c r="AJ197" s="381"/>
      <c r="AK197" s="381"/>
      <c r="AL197" s="381"/>
      <c r="AM197" s="381"/>
      <c r="AN197" s="381"/>
      <c r="AO197" s="381"/>
      <c r="AP197" s="381"/>
      <c r="AQ197" s="381"/>
      <c r="AR197" s="381"/>
      <c r="AS197" s="381"/>
      <c r="AT197" s="381"/>
      <c r="AU197" s="381"/>
    </row>
    <row r="198" spans="1:47" s="382" customFormat="1" ht="18" customHeight="1" x14ac:dyDescent="0.45">
      <c r="A198" s="369"/>
      <c r="B198" s="858"/>
      <c r="C198" s="383" t="s">
        <v>404</v>
      </c>
      <c r="D198" s="384" t="s">
        <v>405</v>
      </c>
      <c r="E198" s="858"/>
      <c r="F198" s="690">
        <v>0</v>
      </c>
      <c r="G198" s="385">
        <v>20</v>
      </c>
      <c r="H198" s="861"/>
      <c r="I198" s="462"/>
      <c r="J198" s="463"/>
      <c r="K198" s="392">
        <f t="shared" si="16"/>
        <v>0</v>
      </c>
      <c r="L198" s="389"/>
      <c r="M198" s="907"/>
      <c r="N198" s="880"/>
      <c r="O198" s="883"/>
      <c r="P198" s="883"/>
      <c r="Q198" s="872"/>
      <c r="R198" s="378"/>
      <c r="S198" s="691"/>
      <c r="T198" s="692"/>
      <c r="U198" s="692"/>
      <c r="V198" s="692"/>
      <c r="W198" s="692"/>
      <c r="X198" s="692"/>
      <c r="Y198" s="693"/>
      <c r="Z198" s="379"/>
      <c r="AA198" s="381"/>
      <c r="AB198" s="381"/>
      <c r="AC198" s="381"/>
      <c r="AD198" s="381"/>
      <c r="AE198" s="381"/>
      <c r="AF198" s="381"/>
      <c r="AG198" s="381"/>
      <c r="AH198" s="381"/>
      <c r="AI198" s="381"/>
      <c r="AJ198" s="381"/>
      <c r="AK198" s="381"/>
      <c r="AL198" s="381"/>
      <c r="AM198" s="381"/>
      <c r="AN198" s="381"/>
      <c r="AO198" s="381"/>
      <c r="AP198" s="381"/>
      <c r="AQ198" s="381"/>
      <c r="AR198" s="381"/>
      <c r="AS198" s="381"/>
      <c r="AT198" s="381"/>
      <c r="AU198" s="381"/>
    </row>
    <row r="199" spans="1:47" s="382" customFormat="1" ht="18" customHeight="1" x14ac:dyDescent="0.45">
      <c r="A199" s="369"/>
      <c r="B199" s="859"/>
      <c r="C199" s="383" t="s">
        <v>406</v>
      </c>
      <c r="D199" s="384" t="s">
        <v>407</v>
      </c>
      <c r="E199" s="859"/>
      <c r="F199" s="690">
        <v>0</v>
      </c>
      <c r="G199" s="385">
        <v>5</v>
      </c>
      <c r="H199" s="862"/>
      <c r="I199" s="467"/>
      <c r="J199" s="468"/>
      <c r="K199" s="395">
        <f t="shared" si="16"/>
        <v>0</v>
      </c>
      <c r="L199" s="471"/>
      <c r="M199" s="907"/>
      <c r="N199" s="880"/>
      <c r="O199" s="883"/>
      <c r="P199" s="883"/>
      <c r="Q199" s="872"/>
      <c r="R199" s="378"/>
      <c r="S199" s="808"/>
      <c r="T199" s="809"/>
      <c r="U199" s="809"/>
      <c r="V199" s="809"/>
      <c r="W199" s="809"/>
      <c r="X199" s="809"/>
      <c r="Y199" s="810"/>
      <c r="Z199" s="379"/>
      <c r="AA199" s="381"/>
      <c r="AB199" s="381"/>
      <c r="AC199" s="381"/>
      <c r="AD199" s="381"/>
      <c r="AE199" s="381"/>
      <c r="AF199" s="381"/>
      <c r="AG199" s="381"/>
      <c r="AH199" s="381"/>
      <c r="AI199" s="381"/>
      <c r="AJ199" s="381"/>
      <c r="AK199" s="381"/>
      <c r="AL199" s="381"/>
      <c r="AM199" s="381"/>
      <c r="AN199" s="381"/>
      <c r="AO199" s="381"/>
      <c r="AP199" s="381"/>
      <c r="AQ199" s="381"/>
      <c r="AR199" s="381"/>
      <c r="AS199" s="381"/>
      <c r="AT199" s="381"/>
      <c r="AU199" s="381"/>
    </row>
    <row r="200" spans="1:47" s="382" customFormat="1" ht="18" customHeight="1" thickBot="1" x14ac:dyDescent="0.5">
      <c r="A200" s="369"/>
      <c r="B200" s="405" t="s">
        <v>408</v>
      </c>
      <c r="C200" s="874" t="s">
        <v>409</v>
      </c>
      <c r="D200" s="875"/>
      <c r="E200" s="397">
        <f>IF(SUM(F201:F203)&lt;AA200,0,IF(SUM(F201:F203)&gt;100,100,SUM(F201:F203)))</f>
        <v>0</v>
      </c>
      <c r="F200" s="398"/>
      <c r="G200" s="400">
        <v>100</v>
      </c>
      <c r="H200" s="472">
        <v>1</v>
      </c>
      <c r="I200" s="406">
        <f>ROUND(E200*H200,0)</f>
        <v>0</v>
      </c>
      <c r="J200" s="402">
        <f>G200*H200</f>
        <v>100</v>
      </c>
      <c r="K200" s="403">
        <f>ROUND(I200/J200,3)</f>
        <v>0</v>
      </c>
      <c r="L200" s="377">
        <f>J200/N$168*P$168</f>
        <v>1.7307692307692309E-2</v>
      </c>
      <c r="M200" s="907"/>
      <c r="N200" s="880"/>
      <c r="O200" s="883"/>
      <c r="P200" s="883"/>
      <c r="Q200" s="872"/>
      <c r="R200" s="378"/>
      <c r="S200" s="808"/>
      <c r="T200" s="809"/>
      <c r="U200" s="809"/>
      <c r="V200" s="809"/>
      <c r="W200" s="809"/>
      <c r="X200" s="809"/>
      <c r="Y200" s="810"/>
      <c r="Z200" s="379"/>
      <c r="AA200" s="380">
        <v>8</v>
      </c>
      <c r="AB200" s="381"/>
      <c r="AC200" s="381"/>
      <c r="AD200" s="381"/>
      <c r="AE200" s="381"/>
      <c r="AF200" s="381"/>
      <c r="AG200" s="381"/>
      <c r="AH200" s="381"/>
      <c r="AI200" s="381"/>
      <c r="AJ200" s="381"/>
      <c r="AK200" s="381"/>
      <c r="AL200" s="381"/>
      <c r="AM200" s="381"/>
      <c r="AN200" s="381"/>
      <c r="AO200" s="381"/>
      <c r="AP200" s="381"/>
      <c r="AQ200" s="381"/>
      <c r="AR200" s="381"/>
      <c r="AS200" s="381"/>
      <c r="AT200" s="381"/>
      <c r="AU200" s="381"/>
    </row>
    <row r="201" spans="1:47" s="382" customFormat="1" ht="18" customHeight="1" x14ac:dyDescent="0.45">
      <c r="A201" s="369"/>
      <c r="B201" s="857"/>
      <c r="C201" s="383" t="s">
        <v>238</v>
      </c>
      <c r="D201" s="384" t="s">
        <v>843</v>
      </c>
      <c r="E201" s="857"/>
      <c r="F201" s="690">
        <v>0</v>
      </c>
      <c r="G201" s="385">
        <v>40</v>
      </c>
      <c r="H201" s="860"/>
      <c r="I201" s="386"/>
      <c r="J201" s="387"/>
      <c r="K201" s="388">
        <f>ROUND(F201/G201,3)</f>
        <v>0</v>
      </c>
      <c r="L201" s="389"/>
      <c r="M201" s="907"/>
      <c r="N201" s="880"/>
      <c r="O201" s="883"/>
      <c r="P201" s="883"/>
      <c r="Q201" s="872"/>
      <c r="R201" s="378"/>
      <c r="S201" s="808"/>
      <c r="T201" s="809"/>
      <c r="U201" s="809"/>
      <c r="V201" s="809"/>
      <c r="W201" s="809"/>
      <c r="X201" s="809"/>
      <c r="Y201" s="810"/>
      <c r="Z201" s="379"/>
      <c r="AA201" s="381"/>
      <c r="AB201" s="381"/>
      <c r="AC201" s="381"/>
      <c r="AD201" s="381"/>
      <c r="AE201" s="381"/>
      <c r="AF201" s="381"/>
      <c r="AG201" s="381"/>
      <c r="AH201" s="381"/>
      <c r="AI201" s="381"/>
      <c r="AJ201" s="381"/>
      <c r="AK201" s="381"/>
      <c r="AL201" s="381"/>
      <c r="AM201" s="381"/>
      <c r="AN201" s="381"/>
      <c r="AO201" s="381"/>
      <c r="AP201" s="381"/>
      <c r="AQ201" s="381"/>
      <c r="AR201" s="381"/>
      <c r="AS201" s="381"/>
      <c r="AT201" s="381"/>
      <c r="AU201" s="381"/>
    </row>
    <row r="202" spans="1:47" s="382" customFormat="1" ht="18" customHeight="1" x14ac:dyDescent="0.45">
      <c r="A202" s="369"/>
      <c r="B202" s="858"/>
      <c r="C202" s="383" t="s">
        <v>283</v>
      </c>
      <c r="D202" s="384" t="s">
        <v>844</v>
      </c>
      <c r="E202" s="858"/>
      <c r="F202" s="690">
        <v>0</v>
      </c>
      <c r="G202" s="385">
        <v>30</v>
      </c>
      <c r="H202" s="861"/>
      <c r="I202" s="390"/>
      <c r="J202" s="391"/>
      <c r="K202" s="392">
        <f>ROUND(F202/G202,3)</f>
        <v>0</v>
      </c>
      <c r="L202" s="389"/>
      <c r="M202" s="907"/>
      <c r="N202" s="880"/>
      <c r="O202" s="883"/>
      <c r="P202" s="883"/>
      <c r="Q202" s="872"/>
      <c r="R202" s="378"/>
      <c r="S202" s="808"/>
      <c r="T202" s="809"/>
      <c r="U202" s="809"/>
      <c r="V202" s="809"/>
      <c r="W202" s="809"/>
      <c r="X202" s="809"/>
      <c r="Y202" s="810"/>
      <c r="Z202" s="379"/>
      <c r="AA202" s="381"/>
      <c r="AB202" s="381"/>
      <c r="AC202" s="381"/>
      <c r="AD202" s="381"/>
      <c r="AE202" s="381"/>
      <c r="AF202" s="381"/>
      <c r="AG202" s="381"/>
      <c r="AH202" s="381"/>
      <c r="AI202" s="381"/>
      <c r="AJ202" s="381"/>
      <c r="AK202" s="381"/>
      <c r="AL202" s="381"/>
      <c r="AM202" s="381"/>
      <c r="AN202" s="381"/>
      <c r="AO202" s="381"/>
      <c r="AP202" s="381"/>
      <c r="AQ202" s="381"/>
      <c r="AR202" s="381"/>
      <c r="AS202" s="381"/>
      <c r="AT202" s="381"/>
      <c r="AU202" s="381"/>
    </row>
    <row r="203" spans="1:47" s="382" customFormat="1" ht="18" customHeight="1" x14ac:dyDescent="0.45">
      <c r="A203" s="369"/>
      <c r="B203" s="858"/>
      <c r="C203" s="383" t="s">
        <v>268</v>
      </c>
      <c r="D203" s="427" t="s">
        <v>410</v>
      </c>
      <c r="E203" s="858"/>
      <c r="F203" s="696">
        <v>0</v>
      </c>
      <c r="G203" s="428">
        <v>30</v>
      </c>
      <c r="H203" s="861"/>
      <c r="I203" s="390"/>
      <c r="J203" s="391"/>
      <c r="K203" s="392">
        <f>ROUND(F203/G203,3)</f>
        <v>0</v>
      </c>
      <c r="L203" s="389"/>
      <c r="M203" s="907"/>
      <c r="N203" s="880"/>
      <c r="O203" s="883"/>
      <c r="P203" s="883"/>
      <c r="Q203" s="872"/>
      <c r="R203" s="378"/>
      <c r="S203" s="808"/>
      <c r="T203" s="809"/>
      <c r="U203" s="809"/>
      <c r="V203" s="809"/>
      <c r="W203" s="809"/>
      <c r="X203" s="809"/>
      <c r="Y203" s="810"/>
      <c r="Z203" s="379"/>
      <c r="AA203" s="381"/>
      <c r="AB203" s="381"/>
      <c r="AC203" s="381"/>
      <c r="AD203" s="381"/>
      <c r="AE203" s="381"/>
      <c r="AF203" s="381"/>
      <c r="AG203" s="381"/>
      <c r="AH203" s="381"/>
      <c r="AI203" s="381"/>
      <c r="AJ203" s="381"/>
      <c r="AK203" s="381"/>
      <c r="AL203" s="381"/>
      <c r="AM203" s="381"/>
      <c r="AN203" s="381"/>
      <c r="AO203" s="381"/>
      <c r="AP203" s="381"/>
      <c r="AQ203" s="381"/>
      <c r="AR203" s="381"/>
      <c r="AS203" s="381"/>
      <c r="AT203" s="381"/>
      <c r="AU203" s="381"/>
    </row>
    <row r="204" spans="1:47" s="382" customFormat="1" ht="18" customHeight="1" thickBot="1" x14ac:dyDescent="0.5">
      <c r="A204" s="369"/>
      <c r="B204" s="454" t="s">
        <v>702</v>
      </c>
      <c r="C204" s="910" t="s">
        <v>455</v>
      </c>
      <c r="D204" s="910"/>
      <c r="E204" s="473">
        <f>IF(SUM(F205:F206)&lt;AA204,0,IF(SUM(F205:F206)&gt;100,100,SUM(F205:F206)))</f>
        <v>0</v>
      </c>
      <c r="F204" s="474"/>
      <c r="G204" s="455">
        <v>100</v>
      </c>
      <c r="H204" s="455">
        <v>2</v>
      </c>
      <c r="I204" s="475">
        <f>ROUND(E204*H204,0)</f>
        <v>0</v>
      </c>
      <c r="J204" s="476">
        <f>G204*H204</f>
        <v>200</v>
      </c>
      <c r="K204" s="456">
        <f>ROUND(I204/J204,3)</f>
        <v>0</v>
      </c>
      <c r="L204" s="377">
        <f>J204/N$168*P$168</f>
        <v>3.4615384615384617E-2</v>
      </c>
      <c r="M204" s="907"/>
      <c r="N204" s="880"/>
      <c r="O204" s="883"/>
      <c r="P204" s="883"/>
      <c r="Q204" s="872"/>
      <c r="R204" s="378"/>
      <c r="S204" s="808"/>
      <c r="T204" s="809"/>
      <c r="U204" s="809"/>
      <c r="V204" s="809"/>
      <c r="W204" s="809"/>
      <c r="X204" s="809"/>
      <c r="Y204" s="810"/>
      <c r="Z204" s="379"/>
      <c r="AA204" s="380">
        <v>10</v>
      </c>
      <c r="AB204" s="477"/>
      <c r="AC204" s="381"/>
      <c r="AD204" s="381"/>
      <c r="AE204" s="381"/>
      <c r="AF204" s="381"/>
      <c r="AG204" s="381"/>
      <c r="AH204" s="381"/>
      <c r="AI204" s="381"/>
      <c r="AJ204" s="381"/>
      <c r="AK204" s="381"/>
      <c r="AL204" s="381"/>
      <c r="AM204" s="381"/>
      <c r="AN204" s="381"/>
      <c r="AO204" s="381"/>
      <c r="AP204" s="381"/>
      <c r="AQ204" s="381"/>
      <c r="AR204" s="381"/>
      <c r="AS204" s="381"/>
      <c r="AT204" s="381"/>
      <c r="AU204" s="381"/>
    </row>
    <row r="205" spans="1:47" s="382" customFormat="1" ht="25.5" x14ac:dyDescent="0.45">
      <c r="A205" s="369"/>
      <c r="B205" s="857"/>
      <c r="C205" s="383" t="s">
        <v>238</v>
      </c>
      <c r="D205" s="384" t="s">
        <v>845</v>
      </c>
      <c r="E205" s="857"/>
      <c r="F205" s="690">
        <v>0</v>
      </c>
      <c r="G205" s="385">
        <v>50</v>
      </c>
      <c r="H205" s="860"/>
      <c r="I205" s="390"/>
      <c r="J205" s="387"/>
      <c r="K205" s="388">
        <f>ROUND(F205/G205,3)</f>
        <v>0</v>
      </c>
      <c r="L205" s="389"/>
      <c r="M205" s="907"/>
      <c r="N205" s="880"/>
      <c r="O205" s="883"/>
      <c r="P205" s="883"/>
      <c r="Q205" s="872"/>
      <c r="R205" s="378"/>
      <c r="S205" s="808"/>
      <c r="T205" s="809"/>
      <c r="U205" s="809"/>
      <c r="V205" s="809"/>
      <c r="W205" s="809"/>
      <c r="X205" s="809"/>
      <c r="Y205" s="810"/>
      <c r="Z205" s="379"/>
      <c r="AA205" s="381"/>
      <c r="AB205" s="381"/>
      <c r="AC205" s="381"/>
      <c r="AD205" s="381"/>
      <c r="AE205" s="381"/>
      <c r="AF205" s="381"/>
      <c r="AG205" s="381"/>
      <c r="AH205" s="381"/>
      <c r="AI205" s="381"/>
      <c r="AJ205" s="381"/>
      <c r="AK205" s="381"/>
      <c r="AL205" s="381"/>
      <c r="AM205" s="381"/>
      <c r="AN205" s="381"/>
      <c r="AO205" s="381"/>
      <c r="AP205" s="381"/>
      <c r="AQ205" s="381"/>
      <c r="AR205" s="381"/>
      <c r="AS205" s="381"/>
      <c r="AT205" s="381"/>
      <c r="AU205" s="381"/>
    </row>
    <row r="206" spans="1:47" s="382" customFormat="1" ht="18" customHeight="1" x14ac:dyDescent="0.45">
      <c r="A206" s="369"/>
      <c r="B206" s="858"/>
      <c r="C206" s="383" t="s">
        <v>240</v>
      </c>
      <c r="D206" s="384" t="s">
        <v>846</v>
      </c>
      <c r="E206" s="859"/>
      <c r="F206" s="690">
        <v>0</v>
      </c>
      <c r="G206" s="385">
        <v>70</v>
      </c>
      <c r="H206" s="861"/>
      <c r="I206" s="390"/>
      <c r="J206" s="387"/>
      <c r="K206" s="388">
        <f>ROUND(F206/G206,3)</f>
        <v>0</v>
      </c>
      <c r="L206" s="389"/>
      <c r="M206" s="907"/>
      <c r="N206" s="880"/>
      <c r="O206" s="883"/>
      <c r="P206" s="883"/>
      <c r="Q206" s="872"/>
      <c r="R206" s="378"/>
      <c r="S206" s="808"/>
      <c r="T206" s="809"/>
      <c r="U206" s="809"/>
      <c r="V206" s="809"/>
      <c r="W206" s="809"/>
      <c r="X206" s="809"/>
      <c r="Y206" s="810"/>
      <c r="Z206" s="379"/>
      <c r="AA206" s="381"/>
      <c r="AB206" s="381"/>
      <c r="AC206" s="381"/>
      <c r="AD206" s="381"/>
      <c r="AE206" s="381"/>
      <c r="AF206" s="381"/>
      <c r="AG206" s="381"/>
      <c r="AH206" s="381"/>
      <c r="AI206" s="381"/>
      <c r="AJ206" s="381"/>
      <c r="AK206" s="381"/>
      <c r="AL206" s="381"/>
      <c r="AM206" s="381"/>
      <c r="AN206" s="381"/>
      <c r="AO206" s="381"/>
      <c r="AP206" s="381"/>
      <c r="AQ206" s="381"/>
      <c r="AR206" s="381"/>
      <c r="AS206" s="381"/>
      <c r="AT206" s="381"/>
      <c r="AU206" s="381"/>
    </row>
    <row r="207" spans="1:47" s="382" customFormat="1" ht="18" customHeight="1" thickBot="1" x14ac:dyDescent="0.5">
      <c r="A207" s="369"/>
      <c r="B207" s="478" t="s">
        <v>847</v>
      </c>
      <c r="C207" s="911" t="s">
        <v>848</v>
      </c>
      <c r="D207" s="912"/>
      <c r="E207" s="702">
        <v>0</v>
      </c>
      <c r="F207" s="479"/>
      <c r="G207" s="480">
        <v>100</v>
      </c>
      <c r="H207" s="480">
        <v>1</v>
      </c>
      <c r="I207" s="481">
        <f>ROUND(E207*H207,0)</f>
        <v>0</v>
      </c>
      <c r="J207" s="482">
        <f>G207*H207</f>
        <v>100</v>
      </c>
      <c r="K207" s="483">
        <f>ROUND(I207/J207,3)</f>
        <v>0</v>
      </c>
      <c r="L207" s="377">
        <f>J207/N$168*P$168</f>
        <v>1.7307692307692309E-2</v>
      </c>
      <c r="M207" s="908"/>
      <c r="N207" s="867"/>
      <c r="O207" s="869"/>
      <c r="P207" s="869"/>
      <c r="Q207" s="873"/>
      <c r="R207" s="378"/>
      <c r="S207" s="820"/>
      <c r="T207" s="821"/>
      <c r="U207" s="821"/>
      <c r="V207" s="821"/>
      <c r="W207" s="821"/>
      <c r="X207" s="821"/>
      <c r="Y207" s="822"/>
      <c r="Z207" s="379"/>
      <c r="AA207" s="380">
        <v>10</v>
      </c>
      <c r="AB207" s="477"/>
      <c r="AC207" s="381"/>
      <c r="AD207" s="381"/>
      <c r="AE207" s="381"/>
      <c r="AF207" s="381"/>
      <c r="AG207" s="381"/>
      <c r="AH207" s="381"/>
      <c r="AI207" s="381"/>
      <c r="AJ207" s="381"/>
      <c r="AK207" s="381"/>
      <c r="AL207" s="381"/>
      <c r="AM207" s="381"/>
      <c r="AN207" s="381"/>
      <c r="AO207" s="381"/>
      <c r="AP207" s="381"/>
      <c r="AQ207" s="381"/>
      <c r="AR207" s="381"/>
      <c r="AS207" s="381"/>
      <c r="AT207" s="381"/>
      <c r="AU207" s="381"/>
    </row>
    <row r="208" spans="1:47" s="382" customFormat="1" ht="20.25" customHeight="1" thickBot="1" x14ac:dyDescent="0.5">
      <c r="A208" s="369"/>
      <c r="B208" s="484" t="s">
        <v>849</v>
      </c>
      <c r="C208" s="485"/>
      <c r="D208" s="486"/>
      <c r="E208" s="487"/>
      <c r="F208" s="488"/>
      <c r="G208" s="489"/>
      <c r="H208" s="489"/>
      <c r="I208" s="490"/>
      <c r="J208" s="490"/>
      <c r="K208" s="491"/>
      <c r="L208" s="491"/>
      <c r="M208" s="492"/>
      <c r="N208" s="493"/>
      <c r="O208" s="494"/>
      <c r="P208" s="494"/>
      <c r="Q208" s="489"/>
      <c r="R208" s="477"/>
      <c r="S208" s="495"/>
      <c r="T208" s="495"/>
      <c r="U208" s="495"/>
      <c r="V208" s="495"/>
      <c r="W208" s="495"/>
      <c r="X208" s="495"/>
      <c r="Y208" s="496"/>
      <c r="Z208" s="379"/>
      <c r="AA208" s="477"/>
      <c r="AB208" s="477"/>
      <c r="AC208" s="477"/>
      <c r="AD208" s="477"/>
      <c r="AE208" s="477"/>
      <c r="AF208" s="477"/>
      <c r="AG208" s="477"/>
      <c r="AH208" s="477"/>
      <c r="AI208" s="477"/>
      <c r="AJ208" s="477"/>
      <c r="AK208" s="477"/>
      <c r="AL208" s="477"/>
      <c r="AM208" s="477"/>
      <c r="AN208" s="477"/>
      <c r="AO208" s="477"/>
      <c r="AP208" s="477"/>
      <c r="AQ208" s="477"/>
      <c r="AR208" s="477"/>
      <c r="AS208" s="477"/>
      <c r="AT208" s="477"/>
      <c r="AU208" s="477"/>
    </row>
    <row r="209" spans="1:47" s="382" customFormat="1" ht="19.5" customHeight="1" thickBot="1" x14ac:dyDescent="0.45">
      <c r="A209" s="369"/>
      <c r="B209" s="497" t="s">
        <v>96</v>
      </c>
      <c r="C209" s="913" t="s">
        <v>456</v>
      </c>
      <c r="D209" s="914"/>
      <c r="E209" s="371">
        <f>IF(SUM(F210:F218)&lt;AA209,0,IF(SUM(F210:F218)&gt;100,100,SUM(F210:F218)))</f>
        <v>0</v>
      </c>
      <c r="F209" s="498"/>
      <c r="G209" s="499">
        <v>100</v>
      </c>
      <c r="H209" s="499">
        <v>2</v>
      </c>
      <c r="I209" s="406">
        <f>ROUND(E209*H209,2)</f>
        <v>0</v>
      </c>
      <c r="J209" s="402">
        <f>G209*H209</f>
        <v>200</v>
      </c>
      <c r="K209" s="376">
        <f>ROUND(I209/J209,3)</f>
        <v>0</v>
      </c>
      <c r="L209" s="407"/>
      <c r="M209" s="915">
        <f>SUM(I209:I231)</f>
        <v>0</v>
      </c>
      <c r="N209" s="915">
        <f>SUM(J209:J231)</f>
        <v>800</v>
      </c>
      <c r="O209" s="882">
        <f>M209/N209</f>
        <v>0</v>
      </c>
      <c r="P209" s="882">
        <v>0</v>
      </c>
      <c r="Q209" s="415"/>
      <c r="R209" s="415"/>
      <c r="S209" s="817"/>
      <c r="T209" s="818"/>
      <c r="U209" s="818"/>
      <c r="V209" s="818"/>
      <c r="W209" s="818"/>
      <c r="X209" s="818"/>
      <c r="Y209" s="819"/>
      <c r="Z209" s="379"/>
      <c r="AA209" s="380">
        <v>10</v>
      </c>
      <c r="AB209" s="415"/>
      <c r="AC209" s="415"/>
      <c r="AD209" s="415"/>
      <c r="AE209" s="415"/>
      <c r="AF209" s="415"/>
      <c r="AG209" s="415"/>
      <c r="AH209" s="415"/>
      <c r="AI209" s="415"/>
      <c r="AJ209" s="415"/>
      <c r="AK209" s="415"/>
      <c r="AL209" s="415"/>
      <c r="AM209" s="415"/>
      <c r="AN209" s="415"/>
      <c r="AO209" s="415"/>
      <c r="AP209" s="415"/>
      <c r="AQ209" s="415"/>
      <c r="AR209" s="415"/>
      <c r="AS209" s="415"/>
      <c r="AT209" s="415"/>
      <c r="AU209" s="415"/>
    </row>
    <row r="210" spans="1:47" s="382" customFormat="1" ht="18.75" customHeight="1" x14ac:dyDescent="0.4">
      <c r="A210" s="369"/>
      <c r="B210" s="921"/>
      <c r="C210" s="500" t="s">
        <v>238</v>
      </c>
      <c r="D210" s="501" t="s">
        <v>458</v>
      </c>
      <c r="E210" s="919"/>
      <c r="F210" s="703">
        <v>0</v>
      </c>
      <c r="G210" s="502">
        <v>15</v>
      </c>
      <c r="H210" s="920"/>
      <c r="I210" s="460"/>
      <c r="J210" s="461"/>
      <c r="K210" s="388">
        <f t="shared" ref="K210:K218" si="17">ROUND(F210/G210,3)</f>
        <v>0</v>
      </c>
      <c r="L210" s="392"/>
      <c r="M210" s="916"/>
      <c r="N210" s="916"/>
      <c r="O210" s="883"/>
      <c r="P210" s="883"/>
      <c r="Q210" s="415"/>
      <c r="R210" s="415"/>
      <c r="S210" s="808"/>
      <c r="T210" s="809"/>
      <c r="U210" s="809"/>
      <c r="V210" s="809"/>
      <c r="W210" s="809"/>
      <c r="X210" s="809"/>
      <c r="Y210" s="810"/>
      <c r="Z210" s="379"/>
      <c r="AA210" s="415"/>
      <c r="AB210" s="415"/>
      <c r="AC210" s="415"/>
      <c r="AD210" s="415"/>
      <c r="AE210" s="415"/>
      <c r="AF210" s="415"/>
      <c r="AG210" s="415"/>
      <c r="AH210" s="415"/>
      <c r="AI210" s="415"/>
      <c r="AJ210" s="415"/>
      <c r="AK210" s="415"/>
      <c r="AL210" s="415"/>
      <c r="AM210" s="415"/>
      <c r="AN210" s="415"/>
      <c r="AO210" s="415"/>
      <c r="AP210" s="415"/>
      <c r="AQ210" s="415"/>
      <c r="AR210" s="415"/>
      <c r="AS210" s="415"/>
      <c r="AT210" s="415"/>
      <c r="AU210" s="415"/>
    </row>
    <row r="211" spans="1:47" s="382" customFormat="1" ht="18.75" customHeight="1" x14ac:dyDescent="0.4">
      <c r="A211" s="369"/>
      <c r="B211" s="921"/>
      <c r="C211" s="500" t="s">
        <v>240</v>
      </c>
      <c r="D211" s="501" t="s">
        <v>459</v>
      </c>
      <c r="E211" s="919"/>
      <c r="F211" s="703">
        <v>0</v>
      </c>
      <c r="G211" s="502">
        <v>20</v>
      </c>
      <c r="H211" s="920"/>
      <c r="I211" s="462"/>
      <c r="J211" s="463"/>
      <c r="K211" s="392">
        <f t="shared" si="17"/>
        <v>0</v>
      </c>
      <c r="L211" s="392"/>
      <c r="M211" s="916"/>
      <c r="N211" s="916"/>
      <c r="O211" s="883"/>
      <c r="P211" s="883"/>
      <c r="Q211" s="415"/>
      <c r="R211" s="415"/>
      <c r="S211" s="808"/>
      <c r="T211" s="809"/>
      <c r="U211" s="809"/>
      <c r="V211" s="809"/>
      <c r="W211" s="809"/>
      <c r="X211" s="809"/>
      <c r="Y211" s="810"/>
      <c r="Z211" s="379"/>
      <c r="AA211" s="415"/>
      <c r="AB211" s="415"/>
      <c r="AC211" s="415"/>
      <c r="AD211" s="415"/>
      <c r="AE211" s="415"/>
      <c r="AF211" s="415"/>
      <c r="AG211" s="415"/>
      <c r="AH211" s="415"/>
      <c r="AI211" s="415"/>
      <c r="AJ211" s="415"/>
      <c r="AK211" s="415"/>
      <c r="AL211" s="415"/>
      <c r="AM211" s="415"/>
      <c r="AN211" s="415"/>
      <c r="AO211" s="415"/>
      <c r="AP211" s="415"/>
      <c r="AQ211" s="415"/>
      <c r="AR211" s="415"/>
      <c r="AS211" s="415"/>
      <c r="AT211" s="415"/>
      <c r="AU211" s="415"/>
    </row>
    <row r="212" spans="1:47" s="382" customFormat="1" ht="18.75" customHeight="1" x14ac:dyDescent="0.4">
      <c r="A212" s="369"/>
      <c r="B212" s="921"/>
      <c r="C212" s="500" t="s">
        <v>392</v>
      </c>
      <c r="D212" s="501" t="s">
        <v>850</v>
      </c>
      <c r="E212" s="919"/>
      <c r="F212" s="703">
        <v>0</v>
      </c>
      <c r="G212" s="502">
        <v>5</v>
      </c>
      <c r="H212" s="920"/>
      <c r="I212" s="462"/>
      <c r="J212" s="463"/>
      <c r="K212" s="392">
        <f t="shared" si="17"/>
        <v>0</v>
      </c>
      <c r="L212" s="392"/>
      <c r="M212" s="916"/>
      <c r="N212" s="916"/>
      <c r="O212" s="883"/>
      <c r="P212" s="883"/>
      <c r="Q212" s="415"/>
      <c r="R212" s="415"/>
      <c r="S212" s="808"/>
      <c r="T212" s="809"/>
      <c r="U212" s="809"/>
      <c r="V212" s="809"/>
      <c r="W212" s="809"/>
      <c r="X212" s="809"/>
      <c r="Y212" s="810"/>
      <c r="Z212" s="379"/>
      <c r="AA212" s="415"/>
      <c r="AB212" s="415"/>
      <c r="AC212" s="415"/>
      <c r="AD212" s="415"/>
      <c r="AE212" s="415"/>
      <c r="AF212" s="415"/>
      <c r="AG212" s="415"/>
      <c r="AH212" s="415"/>
      <c r="AI212" s="415"/>
      <c r="AJ212" s="415"/>
      <c r="AK212" s="415"/>
      <c r="AL212" s="415"/>
      <c r="AM212" s="415"/>
      <c r="AN212" s="415"/>
      <c r="AO212" s="415"/>
      <c r="AP212" s="415"/>
      <c r="AQ212" s="415"/>
      <c r="AR212" s="415"/>
      <c r="AS212" s="415"/>
      <c r="AT212" s="415"/>
      <c r="AU212" s="415"/>
    </row>
    <row r="213" spans="1:47" s="382" customFormat="1" ht="18.75" customHeight="1" x14ac:dyDescent="0.4">
      <c r="A213" s="369"/>
      <c r="B213" s="921"/>
      <c r="C213" s="500" t="s">
        <v>394</v>
      </c>
      <c r="D213" s="501" t="s">
        <v>461</v>
      </c>
      <c r="E213" s="919"/>
      <c r="F213" s="703">
        <v>0</v>
      </c>
      <c r="G213" s="502">
        <v>5</v>
      </c>
      <c r="H213" s="920"/>
      <c r="I213" s="462"/>
      <c r="J213" s="463"/>
      <c r="K213" s="392">
        <f t="shared" si="17"/>
        <v>0</v>
      </c>
      <c r="L213" s="392"/>
      <c r="M213" s="916"/>
      <c r="N213" s="916"/>
      <c r="O213" s="883"/>
      <c r="P213" s="883"/>
      <c r="Q213" s="415"/>
      <c r="R213" s="415"/>
      <c r="S213" s="808"/>
      <c r="T213" s="809"/>
      <c r="U213" s="809"/>
      <c r="V213" s="809"/>
      <c r="W213" s="809"/>
      <c r="X213" s="809"/>
      <c r="Y213" s="810"/>
      <c r="Z213" s="379"/>
      <c r="AA213" s="415"/>
      <c r="AB213" s="415"/>
      <c r="AC213" s="415"/>
      <c r="AD213" s="415"/>
      <c r="AE213" s="415"/>
      <c r="AF213" s="415"/>
      <c r="AG213" s="415"/>
      <c r="AH213" s="415"/>
      <c r="AI213" s="415"/>
      <c r="AJ213" s="415"/>
      <c r="AK213" s="415"/>
      <c r="AL213" s="415"/>
      <c r="AM213" s="415"/>
      <c r="AN213" s="415"/>
      <c r="AO213" s="415"/>
      <c r="AP213" s="415"/>
      <c r="AQ213" s="415"/>
      <c r="AR213" s="415"/>
      <c r="AS213" s="415"/>
      <c r="AT213" s="415"/>
      <c r="AU213" s="415"/>
    </row>
    <row r="214" spans="1:47" s="382" customFormat="1" ht="18.75" customHeight="1" x14ac:dyDescent="0.4">
      <c r="A214" s="369"/>
      <c r="B214" s="921"/>
      <c r="C214" s="500" t="s">
        <v>404</v>
      </c>
      <c r="D214" s="501" t="s">
        <v>463</v>
      </c>
      <c r="E214" s="919"/>
      <c r="F214" s="703">
        <v>0</v>
      </c>
      <c r="G214" s="502">
        <v>5</v>
      </c>
      <c r="H214" s="920"/>
      <c r="I214" s="462"/>
      <c r="J214" s="463"/>
      <c r="K214" s="392">
        <f t="shared" si="17"/>
        <v>0</v>
      </c>
      <c r="L214" s="392"/>
      <c r="M214" s="916"/>
      <c r="N214" s="916"/>
      <c r="O214" s="883"/>
      <c r="P214" s="883"/>
      <c r="Q214" s="415"/>
      <c r="R214" s="415"/>
      <c r="S214" s="808"/>
      <c r="T214" s="809"/>
      <c r="U214" s="809"/>
      <c r="V214" s="809"/>
      <c r="W214" s="809"/>
      <c r="X214" s="809"/>
      <c r="Y214" s="810"/>
      <c r="Z214" s="379"/>
      <c r="AA214" s="415"/>
      <c r="AB214" s="415"/>
      <c r="AC214" s="415"/>
      <c r="AD214" s="415"/>
      <c r="AE214" s="415"/>
      <c r="AF214" s="415"/>
      <c r="AG214" s="415"/>
      <c r="AH214" s="415"/>
      <c r="AI214" s="415"/>
      <c r="AJ214" s="415"/>
      <c r="AK214" s="415"/>
      <c r="AL214" s="415"/>
      <c r="AM214" s="415"/>
      <c r="AN214" s="415"/>
      <c r="AO214" s="415"/>
      <c r="AP214" s="415"/>
      <c r="AQ214" s="415"/>
      <c r="AR214" s="415"/>
      <c r="AS214" s="415"/>
      <c r="AT214" s="415"/>
      <c r="AU214" s="415"/>
    </row>
    <row r="215" spans="1:47" s="382" customFormat="1" ht="18.75" customHeight="1" x14ac:dyDescent="0.4">
      <c r="A215" s="369"/>
      <c r="B215" s="921"/>
      <c r="C215" s="500" t="s">
        <v>244</v>
      </c>
      <c r="D215" s="501" t="s">
        <v>464</v>
      </c>
      <c r="E215" s="919"/>
      <c r="F215" s="703">
        <v>0</v>
      </c>
      <c r="G215" s="502">
        <v>20</v>
      </c>
      <c r="H215" s="920"/>
      <c r="I215" s="462"/>
      <c r="J215" s="463"/>
      <c r="K215" s="392">
        <f t="shared" si="17"/>
        <v>0</v>
      </c>
      <c r="L215" s="392"/>
      <c r="M215" s="916"/>
      <c r="N215" s="916"/>
      <c r="O215" s="883"/>
      <c r="P215" s="883"/>
      <c r="Q215" s="415"/>
      <c r="R215" s="415"/>
      <c r="S215" s="808"/>
      <c r="T215" s="809"/>
      <c r="U215" s="809"/>
      <c r="V215" s="809"/>
      <c r="W215" s="809"/>
      <c r="X215" s="809"/>
      <c r="Y215" s="810"/>
      <c r="Z215" s="379"/>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row>
    <row r="216" spans="1:47" s="382" customFormat="1" ht="18.75" customHeight="1" x14ac:dyDescent="0.4">
      <c r="A216" s="369"/>
      <c r="B216" s="921"/>
      <c r="C216" s="500" t="s">
        <v>246</v>
      </c>
      <c r="D216" s="501" t="s">
        <v>465</v>
      </c>
      <c r="E216" s="919"/>
      <c r="F216" s="703">
        <v>0</v>
      </c>
      <c r="G216" s="502">
        <v>15</v>
      </c>
      <c r="H216" s="920"/>
      <c r="I216" s="462"/>
      <c r="J216" s="463"/>
      <c r="K216" s="392">
        <f t="shared" si="17"/>
        <v>0</v>
      </c>
      <c r="L216" s="392"/>
      <c r="M216" s="916"/>
      <c r="N216" s="916"/>
      <c r="O216" s="883"/>
      <c r="P216" s="883"/>
      <c r="Q216" s="415"/>
      <c r="R216" s="415"/>
      <c r="S216" s="808"/>
      <c r="T216" s="809"/>
      <c r="U216" s="809"/>
      <c r="V216" s="809"/>
      <c r="W216" s="809"/>
      <c r="X216" s="809"/>
      <c r="Y216" s="810"/>
      <c r="Z216" s="379"/>
      <c r="AA216" s="415"/>
      <c r="AB216" s="415"/>
      <c r="AC216" s="415"/>
      <c r="AD216" s="415"/>
      <c r="AE216" s="415"/>
      <c r="AF216" s="415"/>
      <c r="AG216" s="415"/>
      <c r="AH216" s="415"/>
      <c r="AI216" s="415"/>
      <c r="AJ216" s="415"/>
      <c r="AK216" s="415"/>
      <c r="AL216" s="415"/>
      <c r="AM216" s="415"/>
      <c r="AN216" s="415"/>
      <c r="AO216" s="415"/>
      <c r="AP216" s="415"/>
      <c r="AQ216" s="415"/>
      <c r="AR216" s="415"/>
      <c r="AS216" s="415"/>
      <c r="AT216" s="415"/>
      <c r="AU216" s="415"/>
    </row>
    <row r="217" spans="1:47" s="382" customFormat="1" ht="18.75" customHeight="1" x14ac:dyDescent="0.4">
      <c r="A217" s="369"/>
      <c r="B217" s="921"/>
      <c r="C217" s="500" t="s">
        <v>275</v>
      </c>
      <c r="D217" s="501" t="s">
        <v>851</v>
      </c>
      <c r="E217" s="919"/>
      <c r="F217" s="703">
        <v>0</v>
      </c>
      <c r="G217" s="502">
        <v>5</v>
      </c>
      <c r="H217" s="920"/>
      <c r="I217" s="462"/>
      <c r="J217" s="463"/>
      <c r="K217" s="392">
        <f t="shared" si="17"/>
        <v>0</v>
      </c>
      <c r="L217" s="392"/>
      <c r="M217" s="916"/>
      <c r="N217" s="916"/>
      <c r="O217" s="883"/>
      <c r="P217" s="883"/>
      <c r="Q217" s="415"/>
      <c r="R217" s="415"/>
      <c r="S217" s="808"/>
      <c r="T217" s="809"/>
      <c r="U217" s="809"/>
      <c r="V217" s="809"/>
      <c r="W217" s="809"/>
      <c r="X217" s="809"/>
      <c r="Y217" s="810"/>
      <c r="Z217" s="379"/>
      <c r="AA217" s="415"/>
      <c r="AB217" s="415"/>
      <c r="AC217" s="415"/>
      <c r="AD217" s="415"/>
      <c r="AE217" s="415"/>
      <c r="AF217" s="415"/>
      <c r="AG217" s="415"/>
      <c r="AH217" s="415"/>
      <c r="AI217" s="415"/>
      <c r="AJ217" s="415"/>
      <c r="AK217" s="415"/>
      <c r="AL217" s="415"/>
      <c r="AM217" s="415"/>
      <c r="AN217" s="415"/>
      <c r="AO217" s="415"/>
      <c r="AP217" s="415"/>
      <c r="AQ217" s="415"/>
      <c r="AR217" s="415"/>
      <c r="AS217" s="415"/>
      <c r="AT217" s="415"/>
      <c r="AU217" s="415"/>
    </row>
    <row r="218" spans="1:47" s="382" customFormat="1" ht="18.75" customHeight="1" x14ac:dyDescent="0.4">
      <c r="A218" s="369"/>
      <c r="B218" s="921"/>
      <c r="C218" s="500" t="s">
        <v>290</v>
      </c>
      <c r="D218" s="501" t="s">
        <v>467</v>
      </c>
      <c r="E218" s="919"/>
      <c r="F218" s="703">
        <v>0</v>
      </c>
      <c r="G218" s="502">
        <v>10</v>
      </c>
      <c r="H218" s="920"/>
      <c r="I218" s="503"/>
      <c r="J218" s="468"/>
      <c r="K218" s="392">
        <f t="shared" si="17"/>
        <v>0</v>
      </c>
      <c r="L218" s="392"/>
      <c r="M218" s="916"/>
      <c r="N218" s="916"/>
      <c r="O218" s="883"/>
      <c r="P218" s="883"/>
      <c r="Q218" s="415"/>
      <c r="R218" s="415"/>
      <c r="S218" s="808"/>
      <c r="T218" s="809"/>
      <c r="U218" s="809"/>
      <c r="V218" s="809"/>
      <c r="W218" s="809"/>
      <c r="X218" s="809"/>
      <c r="Y218" s="810"/>
      <c r="Z218" s="379"/>
      <c r="AA218" s="415"/>
      <c r="AB218" s="415"/>
      <c r="AC218" s="415"/>
      <c r="AD218" s="415"/>
      <c r="AE218" s="415"/>
      <c r="AF218" s="415"/>
      <c r="AG218" s="415"/>
      <c r="AH218" s="415"/>
      <c r="AI218" s="415"/>
      <c r="AJ218" s="415"/>
      <c r="AK218" s="415"/>
      <c r="AL218" s="415"/>
      <c r="AM218" s="415"/>
      <c r="AN218" s="415"/>
      <c r="AO218" s="415"/>
      <c r="AP218" s="415"/>
      <c r="AQ218" s="415"/>
      <c r="AR218" s="415"/>
      <c r="AS218" s="415"/>
      <c r="AT218" s="415"/>
      <c r="AU218" s="415"/>
    </row>
    <row r="219" spans="1:47" s="382" customFormat="1" ht="19.5" customHeight="1" thickBot="1" x14ac:dyDescent="0.45">
      <c r="A219" s="369"/>
      <c r="B219" s="504" t="s">
        <v>107</v>
      </c>
      <c r="C219" s="917" t="s">
        <v>468</v>
      </c>
      <c r="D219" s="918"/>
      <c r="E219" s="397">
        <f>IF(SUM(F220:F221)&lt;AA219,0,IF(SUM(F220:F221)&gt;100,100,SUM(F220:F221)))</f>
        <v>0</v>
      </c>
      <c r="F219" s="505"/>
      <c r="G219" s="506">
        <v>100</v>
      </c>
      <c r="H219" s="506">
        <v>2</v>
      </c>
      <c r="I219" s="406">
        <f>ROUND(E219*H219,2)</f>
        <v>0</v>
      </c>
      <c r="J219" s="402">
        <f>G219*H219</f>
        <v>200</v>
      </c>
      <c r="K219" s="404">
        <f>ROUND(I219/J219,3)</f>
        <v>0</v>
      </c>
      <c r="L219" s="420"/>
      <c r="M219" s="916"/>
      <c r="N219" s="916"/>
      <c r="O219" s="883"/>
      <c r="P219" s="883"/>
      <c r="Q219" s="415"/>
      <c r="R219" s="415"/>
      <c r="S219" s="808"/>
      <c r="T219" s="809"/>
      <c r="U219" s="809"/>
      <c r="V219" s="809"/>
      <c r="W219" s="809"/>
      <c r="X219" s="809"/>
      <c r="Y219" s="810"/>
      <c r="Z219" s="379"/>
      <c r="AA219" s="380">
        <v>20</v>
      </c>
      <c r="AB219" s="415"/>
      <c r="AC219" s="415"/>
      <c r="AD219" s="415"/>
      <c r="AE219" s="415"/>
      <c r="AF219" s="415"/>
      <c r="AG219" s="415"/>
      <c r="AH219" s="415"/>
      <c r="AI219" s="415"/>
      <c r="AJ219" s="415"/>
      <c r="AK219" s="415"/>
      <c r="AL219" s="415"/>
      <c r="AM219" s="415"/>
      <c r="AN219" s="415"/>
      <c r="AO219" s="415"/>
      <c r="AP219" s="415"/>
      <c r="AQ219" s="415"/>
      <c r="AR219" s="415"/>
      <c r="AS219" s="415"/>
      <c r="AT219" s="415"/>
      <c r="AU219" s="415"/>
    </row>
    <row r="220" spans="1:47" s="382" customFormat="1" ht="18.75" customHeight="1" x14ac:dyDescent="0.4">
      <c r="A220" s="369"/>
      <c r="B220" s="919"/>
      <c r="C220" s="500" t="s">
        <v>238</v>
      </c>
      <c r="D220" s="501" t="s">
        <v>469</v>
      </c>
      <c r="E220" s="919"/>
      <c r="F220" s="703">
        <v>0</v>
      </c>
      <c r="G220" s="502">
        <v>50</v>
      </c>
      <c r="H220" s="920"/>
      <c r="I220" s="386"/>
      <c r="J220" s="387"/>
      <c r="K220" s="392">
        <f>ROUND(F220/G220,3)</f>
        <v>0</v>
      </c>
      <c r="L220" s="392"/>
      <c r="M220" s="916"/>
      <c r="N220" s="916"/>
      <c r="O220" s="883"/>
      <c r="P220" s="883"/>
      <c r="Q220" s="415"/>
      <c r="R220" s="415"/>
      <c r="S220" s="808"/>
      <c r="T220" s="809"/>
      <c r="U220" s="809"/>
      <c r="V220" s="809"/>
      <c r="W220" s="809"/>
      <c r="X220" s="809"/>
      <c r="Y220" s="810"/>
      <c r="Z220" s="379"/>
      <c r="AA220" s="415"/>
      <c r="AB220" s="415"/>
      <c r="AC220" s="415"/>
      <c r="AD220" s="415"/>
      <c r="AE220" s="415"/>
      <c r="AF220" s="415"/>
      <c r="AG220" s="415"/>
      <c r="AH220" s="415"/>
      <c r="AI220" s="415"/>
      <c r="AJ220" s="415"/>
      <c r="AK220" s="415"/>
      <c r="AL220" s="415"/>
      <c r="AM220" s="415"/>
      <c r="AN220" s="415"/>
      <c r="AO220" s="415"/>
      <c r="AP220" s="415"/>
      <c r="AQ220" s="415"/>
      <c r="AR220" s="415"/>
      <c r="AS220" s="415"/>
      <c r="AT220" s="415"/>
      <c r="AU220" s="415"/>
    </row>
    <row r="221" spans="1:47" s="382" customFormat="1" ht="18.75" customHeight="1" x14ac:dyDescent="0.4">
      <c r="A221" s="369"/>
      <c r="B221" s="919"/>
      <c r="C221" s="500" t="s">
        <v>240</v>
      </c>
      <c r="D221" s="501" t="s">
        <v>470</v>
      </c>
      <c r="E221" s="919"/>
      <c r="F221" s="703">
        <v>0</v>
      </c>
      <c r="G221" s="502">
        <v>50</v>
      </c>
      <c r="H221" s="920"/>
      <c r="I221" s="393"/>
      <c r="J221" s="394"/>
      <c r="K221" s="392">
        <f>ROUND(F221/G221,3)</f>
        <v>0</v>
      </c>
      <c r="L221" s="392"/>
      <c r="M221" s="916"/>
      <c r="N221" s="916"/>
      <c r="O221" s="883"/>
      <c r="P221" s="883"/>
      <c r="Q221" s="415"/>
      <c r="R221" s="415"/>
      <c r="S221" s="808"/>
      <c r="T221" s="809"/>
      <c r="U221" s="809"/>
      <c r="V221" s="809"/>
      <c r="W221" s="809"/>
      <c r="X221" s="809"/>
      <c r="Y221" s="810"/>
      <c r="Z221" s="379"/>
      <c r="AA221" s="415"/>
      <c r="AB221" s="415"/>
      <c r="AC221" s="415"/>
      <c r="AD221" s="415"/>
      <c r="AE221" s="415"/>
      <c r="AF221" s="415"/>
      <c r="AG221" s="415"/>
      <c r="AH221" s="415"/>
      <c r="AI221" s="415"/>
      <c r="AJ221" s="415"/>
      <c r="AK221" s="415"/>
      <c r="AL221" s="415"/>
      <c r="AM221" s="415"/>
      <c r="AN221" s="415"/>
      <c r="AO221" s="415"/>
      <c r="AP221" s="415"/>
      <c r="AQ221" s="415"/>
      <c r="AR221" s="415"/>
      <c r="AS221" s="415"/>
      <c r="AT221" s="415"/>
      <c r="AU221" s="415"/>
    </row>
    <row r="222" spans="1:47" s="382" customFormat="1" ht="19.5" customHeight="1" thickBot="1" x14ac:dyDescent="0.45">
      <c r="A222" s="369"/>
      <c r="B222" s="504" t="s">
        <v>110</v>
      </c>
      <c r="C222" s="917" t="s">
        <v>471</v>
      </c>
      <c r="D222" s="918"/>
      <c r="E222" s="397">
        <f>IF(SUM(F223:F227)&lt;AA222,0,IF(SUM(F223:F227)&gt;100,100,SUM(F223:F227)))</f>
        <v>0</v>
      </c>
      <c r="F222" s="505"/>
      <c r="G222" s="506">
        <v>100</v>
      </c>
      <c r="H222" s="506">
        <v>2</v>
      </c>
      <c r="I222" s="406">
        <f>ROUND(E222*H222,2)</f>
        <v>0</v>
      </c>
      <c r="J222" s="402">
        <f>G222*H222</f>
        <v>200</v>
      </c>
      <c r="K222" s="404">
        <f>ROUND(I222/J222,3)</f>
        <v>0</v>
      </c>
      <c r="L222" s="420"/>
      <c r="M222" s="916"/>
      <c r="N222" s="916"/>
      <c r="O222" s="883"/>
      <c r="P222" s="883"/>
      <c r="Q222" s="415"/>
      <c r="R222" s="415"/>
      <c r="S222" s="808"/>
      <c r="T222" s="809"/>
      <c r="U222" s="809"/>
      <c r="V222" s="809"/>
      <c r="W222" s="809"/>
      <c r="X222" s="809"/>
      <c r="Y222" s="810"/>
      <c r="Z222" s="379"/>
      <c r="AA222" s="380">
        <v>20</v>
      </c>
      <c r="AB222" s="415"/>
      <c r="AC222" s="415"/>
      <c r="AD222" s="415"/>
      <c r="AE222" s="415"/>
      <c r="AF222" s="415"/>
      <c r="AG222" s="415"/>
      <c r="AH222" s="415"/>
      <c r="AI222" s="415"/>
      <c r="AJ222" s="415"/>
      <c r="AK222" s="415"/>
      <c r="AL222" s="415"/>
      <c r="AM222" s="415"/>
      <c r="AN222" s="415"/>
      <c r="AO222" s="415"/>
      <c r="AP222" s="415"/>
      <c r="AQ222" s="415"/>
      <c r="AR222" s="415"/>
      <c r="AS222" s="415"/>
      <c r="AT222" s="415"/>
      <c r="AU222" s="415"/>
    </row>
    <row r="223" spans="1:47" s="382" customFormat="1" ht="25.9" x14ac:dyDescent="0.4">
      <c r="A223" s="369"/>
      <c r="B223" s="919"/>
      <c r="C223" s="500" t="s">
        <v>238</v>
      </c>
      <c r="D223" s="501" t="s">
        <v>852</v>
      </c>
      <c r="E223" s="919"/>
      <c r="F223" s="703">
        <v>0</v>
      </c>
      <c r="G223" s="502">
        <v>20</v>
      </c>
      <c r="H223" s="920"/>
      <c r="I223" s="386"/>
      <c r="J223" s="387"/>
      <c r="K223" s="392">
        <f>ROUND(F223/G223,3)</f>
        <v>0</v>
      </c>
      <c r="L223" s="392"/>
      <c r="M223" s="916"/>
      <c r="N223" s="916"/>
      <c r="O223" s="883"/>
      <c r="P223" s="883"/>
      <c r="Q223" s="415"/>
      <c r="R223" s="415"/>
      <c r="S223" s="808"/>
      <c r="T223" s="809"/>
      <c r="U223" s="809"/>
      <c r="V223" s="809"/>
      <c r="W223" s="809"/>
      <c r="X223" s="809"/>
      <c r="Y223" s="810"/>
      <c r="Z223" s="379"/>
      <c r="AA223" s="415"/>
      <c r="AB223" s="415"/>
      <c r="AC223" s="415"/>
      <c r="AD223" s="415"/>
      <c r="AE223" s="415"/>
      <c r="AF223" s="415"/>
      <c r="AG223" s="415"/>
      <c r="AH223" s="415"/>
      <c r="AI223" s="415"/>
      <c r="AJ223" s="415"/>
      <c r="AK223" s="415"/>
      <c r="AL223" s="415"/>
      <c r="AM223" s="415"/>
      <c r="AN223" s="415"/>
      <c r="AO223" s="415"/>
      <c r="AP223" s="415"/>
      <c r="AQ223" s="415"/>
      <c r="AR223" s="415"/>
      <c r="AS223" s="415"/>
      <c r="AT223" s="415"/>
      <c r="AU223" s="415"/>
    </row>
    <row r="224" spans="1:47" s="382" customFormat="1" ht="18.75" customHeight="1" x14ac:dyDescent="0.4">
      <c r="A224" s="369"/>
      <c r="B224" s="919"/>
      <c r="C224" s="500" t="s">
        <v>240</v>
      </c>
      <c r="D224" s="501" t="s">
        <v>473</v>
      </c>
      <c r="E224" s="919"/>
      <c r="F224" s="703">
        <v>0</v>
      </c>
      <c r="G224" s="502">
        <v>20</v>
      </c>
      <c r="H224" s="920"/>
      <c r="I224" s="390"/>
      <c r="J224" s="391"/>
      <c r="K224" s="392">
        <f>ROUND(F224/G224,3)</f>
        <v>0</v>
      </c>
      <c r="L224" s="392"/>
      <c r="M224" s="916"/>
      <c r="N224" s="916"/>
      <c r="O224" s="883"/>
      <c r="P224" s="883"/>
      <c r="Q224" s="415"/>
      <c r="R224" s="415"/>
      <c r="S224" s="808"/>
      <c r="T224" s="809"/>
      <c r="U224" s="809"/>
      <c r="V224" s="809"/>
      <c r="W224" s="809"/>
      <c r="X224" s="809"/>
      <c r="Y224" s="810"/>
      <c r="Z224" s="379"/>
      <c r="AA224" s="415"/>
      <c r="AB224" s="415"/>
      <c r="AC224" s="415"/>
      <c r="AD224" s="415"/>
      <c r="AE224" s="415"/>
      <c r="AF224" s="415"/>
      <c r="AG224" s="415"/>
      <c r="AH224" s="415"/>
      <c r="AI224" s="415"/>
      <c r="AJ224" s="415"/>
      <c r="AK224" s="415"/>
      <c r="AL224" s="415"/>
      <c r="AM224" s="415"/>
      <c r="AN224" s="415"/>
      <c r="AO224" s="415"/>
      <c r="AP224" s="415"/>
      <c r="AQ224" s="415"/>
      <c r="AR224" s="415"/>
      <c r="AS224" s="415"/>
      <c r="AT224" s="415"/>
      <c r="AU224" s="415"/>
    </row>
    <row r="225" spans="1:47" s="382" customFormat="1" ht="20.25" customHeight="1" x14ac:dyDescent="0.4">
      <c r="A225" s="369"/>
      <c r="B225" s="919"/>
      <c r="C225" s="500" t="s">
        <v>242</v>
      </c>
      <c r="D225" s="501" t="s">
        <v>474</v>
      </c>
      <c r="E225" s="919"/>
      <c r="F225" s="703">
        <v>0</v>
      </c>
      <c r="G225" s="502">
        <v>20</v>
      </c>
      <c r="H225" s="920"/>
      <c r="I225" s="390"/>
      <c r="J225" s="391"/>
      <c r="K225" s="392">
        <f>ROUND(F225/G225,3)</f>
        <v>0</v>
      </c>
      <c r="L225" s="392"/>
      <c r="M225" s="916"/>
      <c r="N225" s="916"/>
      <c r="O225" s="883"/>
      <c r="P225" s="883"/>
      <c r="Q225" s="415"/>
      <c r="R225" s="415"/>
      <c r="S225" s="808"/>
      <c r="T225" s="809"/>
      <c r="U225" s="809"/>
      <c r="V225" s="809"/>
      <c r="W225" s="809"/>
      <c r="X225" s="809"/>
      <c r="Y225" s="810"/>
      <c r="Z225" s="379"/>
      <c r="AA225" s="415"/>
      <c r="AB225" s="415"/>
      <c r="AC225" s="415"/>
      <c r="AD225" s="415"/>
      <c r="AE225" s="415"/>
      <c r="AF225" s="415"/>
      <c r="AG225" s="415"/>
      <c r="AH225" s="415"/>
      <c r="AI225" s="415"/>
      <c r="AJ225" s="415"/>
      <c r="AK225" s="415"/>
      <c r="AL225" s="415"/>
      <c r="AM225" s="415"/>
      <c r="AN225" s="415"/>
      <c r="AO225" s="415"/>
      <c r="AP225" s="415"/>
      <c r="AQ225" s="415"/>
      <c r="AR225" s="415"/>
      <c r="AS225" s="415"/>
      <c r="AT225" s="415"/>
      <c r="AU225" s="415"/>
    </row>
    <row r="226" spans="1:47" s="382" customFormat="1" ht="20.25" customHeight="1" x14ac:dyDescent="0.4">
      <c r="A226" s="369"/>
      <c r="B226" s="919"/>
      <c r="C226" s="500" t="s">
        <v>246</v>
      </c>
      <c r="D226" s="507" t="s">
        <v>475</v>
      </c>
      <c r="E226" s="919"/>
      <c r="F226" s="703">
        <v>0</v>
      </c>
      <c r="G226" s="502">
        <v>20</v>
      </c>
      <c r="H226" s="920"/>
      <c r="I226" s="390"/>
      <c r="J226" s="391"/>
      <c r="K226" s="392">
        <f>ROUND(F226/G226,3)</f>
        <v>0</v>
      </c>
      <c r="L226" s="392"/>
      <c r="M226" s="916"/>
      <c r="N226" s="916"/>
      <c r="O226" s="883"/>
      <c r="P226" s="883"/>
      <c r="Q226" s="415"/>
      <c r="R226" s="415"/>
      <c r="S226" s="808"/>
      <c r="T226" s="809"/>
      <c r="U226" s="809"/>
      <c r="V226" s="809"/>
      <c r="W226" s="809"/>
      <c r="X226" s="809"/>
      <c r="Y226" s="810"/>
      <c r="Z226" s="379"/>
      <c r="AA226" s="415"/>
      <c r="AB226" s="415"/>
      <c r="AC226" s="415"/>
      <c r="AD226" s="415"/>
      <c r="AE226" s="415"/>
      <c r="AF226" s="415"/>
      <c r="AG226" s="415"/>
      <c r="AH226" s="415"/>
      <c r="AI226" s="415"/>
      <c r="AJ226" s="415"/>
      <c r="AK226" s="415"/>
      <c r="AL226" s="415"/>
      <c r="AM226" s="415"/>
      <c r="AN226" s="415"/>
      <c r="AO226" s="415"/>
      <c r="AP226" s="415"/>
      <c r="AQ226" s="415"/>
      <c r="AR226" s="415"/>
      <c r="AS226" s="415"/>
      <c r="AT226" s="415"/>
      <c r="AU226" s="415"/>
    </row>
    <row r="227" spans="1:47" s="382" customFormat="1" ht="18" customHeight="1" x14ac:dyDescent="0.4">
      <c r="A227" s="369"/>
      <c r="B227" s="919"/>
      <c r="C227" s="500" t="s">
        <v>275</v>
      </c>
      <c r="D227" s="501" t="s">
        <v>476</v>
      </c>
      <c r="E227" s="919"/>
      <c r="F227" s="703">
        <v>0</v>
      </c>
      <c r="G227" s="502">
        <v>20</v>
      </c>
      <c r="H227" s="920"/>
      <c r="I227" s="390"/>
      <c r="J227" s="391"/>
      <c r="K227" s="392">
        <f>ROUND(F227/G227,3)</f>
        <v>0</v>
      </c>
      <c r="L227" s="392"/>
      <c r="M227" s="916"/>
      <c r="N227" s="916"/>
      <c r="O227" s="883"/>
      <c r="P227" s="883"/>
      <c r="Q227" s="415"/>
      <c r="R227" s="415"/>
      <c r="S227" s="808"/>
      <c r="T227" s="809"/>
      <c r="U227" s="809"/>
      <c r="V227" s="809"/>
      <c r="W227" s="809"/>
      <c r="X227" s="809"/>
      <c r="Y227" s="810"/>
      <c r="Z227" s="379"/>
      <c r="AA227" s="415"/>
      <c r="AB227" s="415"/>
      <c r="AC227" s="415"/>
      <c r="AD227" s="415"/>
      <c r="AE227" s="415"/>
      <c r="AF227" s="415"/>
      <c r="AG227" s="415"/>
      <c r="AH227" s="415"/>
      <c r="AI227" s="415"/>
      <c r="AJ227" s="415"/>
      <c r="AK227" s="415"/>
      <c r="AL227" s="415"/>
      <c r="AM227" s="415"/>
      <c r="AN227" s="415"/>
      <c r="AO227" s="415"/>
      <c r="AP227" s="415"/>
      <c r="AQ227" s="415"/>
      <c r="AR227" s="415"/>
      <c r="AS227" s="415"/>
      <c r="AT227" s="415"/>
      <c r="AU227" s="415"/>
    </row>
    <row r="228" spans="1:47" s="382" customFormat="1" ht="19.5" customHeight="1" thickBot="1" x14ac:dyDescent="0.45">
      <c r="A228" s="369"/>
      <c r="B228" s="504" t="s">
        <v>115</v>
      </c>
      <c r="C228" s="917" t="s">
        <v>477</v>
      </c>
      <c r="D228" s="918"/>
      <c r="E228" s="397">
        <f>IF(SUM(F229:F231)&lt;AA228,0,IF(SUM(F229:F231)&gt;100,100,SUM(F229:F231)))</f>
        <v>0</v>
      </c>
      <c r="F228" s="505"/>
      <c r="G228" s="508">
        <v>100</v>
      </c>
      <c r="H228" s="506">
        <v>2</v>
      </c>
      <c r="I228" s="406">
        <f>ROUND(E228*H228,2)</f>
        <v>0</v>
      </c>
      <c r="J228" s="402">
        <f>G228*H228</f>
        <v>200</v>
      </c>
      <c r="K228" s="404">
        <f>ROUND(I228/J228,3)</f>
        <v>0</v>
      </c>
      <c r="L228" s="420"/>
      <c r="M228" s="916"/>
      <c r="N228" s="916"/>
      <c r="O228" s="883"/>
      <c r="P228" s="883"/>
      <c r="Q228" s="415"/>
      <c r="R228" s="415"/>
      <c r="S228" s="808"/>
      <c r="T228" s="809"/>
      <c r="U228" s="809"/>
      <c r="V228" s="809"/>
      <c r="W228" s="809"/>
      <c r="X228" s="809"/>
      <c r="Y228" s="810"/>
      <c r="Z228" s="379"/>
      <c r="AA228" s="380">
        <v>10</v>
      </c>
      <c r="AB228" s="415"/>
      <c r="AC228" s="415"/>
      <c r="AD228" s="415"/>
      <c r="AE228" s="415"/>
      <c r="AF228" s="415"/>
      <c r="AG228" s="415"/>
      <c r="AH228" s="415"/>
      <c r="AI228" s="415"/>
      <c r="AJ228" s="415"/>
      <c r="AK228" s="415"/>
      <c r="AL228" s="415"/>
      <c r="AM228" s="415"/>
      <c r="AN228" s="415"/>
      <c r="AO228" s="415"/>
      <c r="AP228" s="415"/>
      <c r="AQ228" s="415"/>
      <c r="AR228" s="415"/>
      <c r="AS228" s="415"/>
      <c r="AT228" s="415"/>
      <c r="AU228" s="415"/>
    </row>
    <row r="229" spans="1:47" s="382" customFormat="1" ht="18.75" customHeight="1" x14ac:dyDescent="0.4">
      <c r="A229" s="369"/>
      <c r="B229" s="919"/>
      <c r="C229" s="500" t="s">
        <v>238</v>
      </c>
      <c r="D229" s="509" t="s">
        <v>478</v>
      </c>
      <c r="E229" s="919"/>
      <c r="F229" s="703">
        <v>0</v>
      </c>
      <c r="G229" s="510">
        <v>30</v>
      </c>
      <c r="H229" s="920"/>
      <c r="I229" s="386"/>
      <c r="J229" s="387"/>
      <c r="K229" s="392">
        <f>ROUND(F229/G229,3)</f>
        <v>0</v>
      </c>
      <c r="L229" s="392"/>
      <c r="M229" s="916"/>
      <c r="N229" s="916"/>
      <c r="O229" s="883"/>
      <c r="P229" s="883"/>
      <c r="Q229" s="415"/>
      <c r="R229" s="415"/>
      <c r="S229" s="808"/>
      <c r="T229" s="809"/>
      <c r="U229" s="809"/>
      <c r="V229" s="809"/>
      <c r="W229" s="809"/>
      <c r="X229" s="809"/>
      <c r="Y229" s="810"/>
      <c r="Z229" s="379"/>
      <c r="AA229" s="415"/>
      <c r="AB229" s="415"/>
      <c r="AC229" s="415"/>
      <c r="AD229" s="415"/>
      <c r="AE229" s="415"/>
      <c r="AF229" s="415"/>
      <c r="AG229" s="415"/>
      <c r="AH229" s="415"/>
      <c r="AI229" s="415"/>
      <c r="AJ229" s="415"/>
      <c r="AK229" s="415"/>
      <c r="AL229" s="415"/>
      <c r="AM229" s="415"/>
      <c r="AN229" s="415"/>
      <c r="AO229" s="415"/>
      <c r="AP229" s="415"/>
      <c r="AQ229" s="415"/>
      <c r="AR229" s="415"/>
      <c r="AS229" s="415"/>
      <c r="AT229" s="415"/>
      <c r="AU229" s="415"/>
    </row>
    <row r="230" spans="1:47" s="382" customFormat="1" ht="18.75" customHeight="1" x14ac:dyDescent="0.4">
      <c r="A230" s="369"/>
      <c r="B230" s="919"/>
      <c r="C230" s="500" t="s">
        <v>240</v>
      </c>
      <c r="D230" s="509" t="s">
        <v>481</v>
      </c>
      <c r="E230" s="919"/>
      <c r="F230" s="703">
        <v>0</v>
      </c>
      <c r="G230" s="510">
        <v>90</v>
      </c>
      <c r="H230" s="920"/>
      <c r="I230" s="390"/>
      <c r="J230" s="391"/>
      <c r="K230" s="392">
        <f>ROUND(F230/G230,3)</f>
        <v>0</v>
      </c>
      <c r="L230" s="392"/>
      <c r="M230" s="916"/>
      <c r="N230" s="916"/>
      <c r="O230" s="883"/>
      <c r="P230" s="883"/>
      <c r="Q230" s="415"/>
      <c r="R230" s="415"/>
      <c r="S230" s="808"/>
      <c r="T230" s="809"/>
      <c r="U230" s="809"/>
      <c r="V230" s="809"/>
      <c r="W230" s="809"/>
      <c r="X230" s="809"/>
      <c r="Y230" s="810"/>
      <c r="Z230" s="379"/>
      <c r="AA230" s="415"/>
      <c r="AB230" s="415"/>
      <c r="AC230" s="415"/>
      <c r="AD230" s="415"/>
      <c r="AE230" s="415"/>
      <c r="AF230" s="415"/>
      <c r="AG230" s="415"/>
      <c r="AH230" s="415"/>
      <c r="AI230" s="415"/>
      <c r="AJ230" s="415"/>
      <c r="AK230" s="415"/>
      <c r="AL230" s="415"/>
      <c r="AM230" s="415"/>
      <c r="AN230" s="415"/>
      <c r="AO230" s="415"/>
      <c r="AP230" s="415"/>
      <c r="AQ230" s="415"/>
      <c r="AR230" s="415"/>
      <c r="AS230" s="415"/>
      <c r="AT230" s="415"/>
      <c r="AU230" s="415"/>
    </row>
    <row r="231" spans="1:47" s="382" customFormat="1" ht="18.75" customHeight="1" thickBot="1" x14ac:dyDescent="0.45">
      <c r="A231" s="369"/>
      <c r="B231" s="922"/>
      <c r="C231" s="511" t="s">
        <v>242</v>
      </c>
      <c r="D231" s="512" t="s">
        <v>853</v>
      </c>
      <c r="E231" s="922"/>
      <c r="F231" s="704">
        <v>0</v>
      </c>
      <c r="G231" s="513">
        <v>20</v>
      </c>
      <c r="H231" s="923"/>
      <c r="I231" s="514"/>
      <c r="J231" s="433"/>
      <c r="K231" s="434">
        <f>ROUND(F231/G231,3)</f>
        <v>0</v>
      </c>
      <c r="L231" s="392"/>
      <c r="M231" s="916"/>
      <c r="N231" s="916"/>
      <c r="O231" s="883"/>
      <c r="P231" s="883"/>
      <c r="Q231" s="415"/>
      <c r="R231" s="415"/>
      <c r="S231" s="823"/>
      <c r="T231" s="824"/>
      <c r="U231" s="824"/>
      <c r="V231" s="824"/>
      <c r="W231" s="824"/>
      <c r="X231" s="824"/>
      <c r="Y231" s="825"/>
      <c r="Z231" s="379"/>
      <c r="AA231" s="415"/>
      <c r="AB231" s="415"/>
      <c r="AC231" s="415"/>
      <c r="AD231" s="415"/>
      <c r="AE231" s="415"/>
      <c r="AF231" s="415"/>
      <c r="AG231" s="415"/>
      <c r="AH231" s="415"/>
      <c r="AI231" s="415"/>
      <c r="AJ231" s="415"/>
      <c r="AK231" s="415"/>
      <c r="AL231" s="415"/>
      <c r="AM231" s="415"/>
      <c r="AN231" s="415"/>
      <c r="AO231" s="415"/>
      <c r="AP231" s="415"/>
      <c r="AQ231" s="415"/>
      <c r="AR231" s="415"/>
      <c r="AS231" s="415"/>
      <c r="AT231" s="415"/>
      <c r="AU231" s="415"/>
    </row>
    <row r="232" spans="1:47" x14ac:dyDescent="0.45">
      <c r="F232" s="515"/>
      <c r="G232" s="351"/>
      <c r="H232" s="516"/>
      <c r="I232" s="517"/>
      <c r="J232" s="515"/>
      <c r="K232" s="518"/>
      <c r="L232" s="518"/>
      <c r="M232" s="519"/>
      <c r="Y232" s="520"/>
      <c r="Z232" s="520"/>
    </row>
    <row r="233" spans="1:47" ht="15.75" hidden="1" customHeight="1" x14ac:dyDescent="0.45">
      <c r="C233" s="332" t="s">
        <v>854</v>
      </c>
      <c r="E233" s="521">
        <f>SUM(E54:E231)</f>
        <v>0</v>
      </c>
      <c r="F233" s="521"/>
      <c r="G233" s="522"/>
      <c r="H233" s="523"/>
      <c r="I233" s="335">
        <f>SUM(I54:I231)</f>
        <v>0</v>
      </c>
      <c r="J233" s="521"/>
      <c r="P233" s="521"/>
      <c r="Q233" s="521"/>
      <c r="R233" s="521"/>
      <c r="S233" s="521"/>
      <c r="T233" s="521"/>
      <c r="U233" s="521"/>
      <c r="V233" s="521"/>
      <c r="W233" s="521"/>
      <c r="X233" s="521"/>
      <c r="Y233" s="520"/>
      <c r="Z233" s="520"/>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row>
    <row r="234" spans="1:47" x14ac:dyDescent="0.45">
      <c r="G234" s="351"/>
      <c r="Y234" s="520"/>
      <c r="Z234" s="520"/>
    </row>
    <row r="235" spans="1:47" x14ac:dyDescent="0.45">
      <c r="B235" s="333"/>
      <c r="C235" s="516"/>
      <c r="D235" s="525"/>
      <c r="E235" s="525"/>
      <c r="G235" s="351"/>
      <c r="H235" s="516"/>
      <c r="I235" s="526"/>
      <c r="J235" s="515"/>
      <c r="K235" s="518"/>
      <c r="L235" s="518"/>
      <c r="M235" s="519"/>
      <c r="N235" s="519"/>
      <c r="O235" s="527"/>
      <c r="P235" s="515"/>
      <c r="Q235" s="515"/>
      <c r="R235" s="515"/>
      <c r="S235" s="515"/>
      <c r="T235" s="515"/>
      <c r="Y235" s="520"/>
      <c r="Z235" s="520"/>
    </row>
    <row r="236" spans="1:47" ht="30" hidden="1" customHeight="1" x14ac:dyDescent="0.45">
      <c r="B236" s="484" t="s">
        <v>855</v>
      </c>
      <c r="C236" s="528"/>
      <c r="D236" s="516"/>
      <c r="E236" s="516"/>
      <c r="F236" s="334"/>
      <c r="G236" s="529"/>
      <c r="H236" s="516"/>
      <c r="I236" s="530"/>
      <c r="J236" s="515"/>
      <c r="K236" s="518"/>
      <c r="L236" s="518"/>
      <c r="M236" s="519"/>
      <c r="N236" s="519"/>
      <c r="O236" s="527"/>
      <c r="P236" s="515"/>
      <c r="Q236" s="515"/>
      <c r="R236" s="515"/>
      <c r="S236" s="515"/>
      <c r="T236" s="515"/>
      <c r="Y236" s="520"/>
      <c r="Z236" s="520"/>
    </row>
    <row r="237" spans="1:47" hidden="1" x14ac:dyDescent="0.45">
      <c r="B237" s="528" t="s">
        <v>856</v>
      </c>
      <c r="C237" s="528"/>
      <c r="D237" s="525"/>
      <c r="E237" s="525"/>
      <c r="F237" s="334"/>
      <c r="G237" s="529"/>
      <c r="H237" s="525"/>
      <c r="I237" s="526"/>
      <c r="J237" s="515"/>
      <c r="K237" s="518"/>
      <c r="L237" s="518"/>
      <c r="M237" s="519"/>
      <c r="N237" s="519"/>
      <c r="O237" s="527"/>
      <c r="P237" s="515"/>
      <c r="Q237" s="515"/>
      <c r="R237" s="515"/>
      <c r="S237" s="515"/>
      <c r="T237" s="515"/>
      <c r="Y237" s="520"/>
      <c r="Z237" s="520"/>
    </row>
    <row r="238" spans="1:47" hidden="1" x14ac:dyDescent="0.45">
      <c r="B238" s="528"/>
      <c r="C238" s="528" t="s">
        <v>857</v>
      </c>
      <c r="D238" s="525"/>
      <c r="E238" s="525"/>
      <c r="F238" s="334"/>
      <c r="G238" s="529"/>
      <c r="H238" s="525"/>
      <c r="I238" s="526"/>
      <c r="J238" s="515"/>
      <c r="K238" s="518"/>
      <c r="L238" s="518"/>
      <c r="M238" s="519"/>
      <c r="N238" s="519"/>
      <c r="O238" s="527"/>
      <c r="P238" s="515"/>
      <c r="Q238" s="515"/>
      <c r="R238" s="515"/>
      <c r="S238" s="515"/>
      <c r="T238" s="515"/>
      <c r="Y238" s="520"/>
      <c r="Z238" s="520"/>
    </row>
    <row r="239" spans="1:47" hidden="1" x14ac:dyDescent="0.45">
      <c r="B239" s="528"/>
      <c r="C239" s="528" t="s">
        <v>858</v>
      </c>
      <c r="D239" s="525"/>
      <c r="E239" s="525"/>
      <c r="G239" s="351"/>
      <c r="H239" s="525"/>
      <c r="I239" s="526"/>
      <c r="J239" s="515"/>
      <c r="K239" s="518"/>
      <c r="L239" s="518"/>
      <c r="M239" s="519"/>
      <c r="N239" s="519"/>
      <c r="O239" s="527"/>
      <c r="P239" s="515"/>
      <c r="Q239" s="515"/>
      <c r="R239" s="515"/>
      <c r="S239" s="515"/>
      <c r="T239" s="515"/>
      <c r="Y239" s="520"/>
      <c r="Z239" s="520"/>
    </row>
    <row r="240" spans="1:47" hidden="1" x14ac:dyDescent="0.45">
      <c r="B240" s="528"/>
      <c r="C240" s="528"/>
      <c r="G240" s="351"/>
      <c r="H240" s="516"/>
      <c r="I240" s="517"/>
      <c r="J240" s="515"/>
      <c r="K240" s="518"/>
      <c r="L240" s="518"/>
      <c r="M240" s="519"/>
      <c r="N240" s="519"/>
      <c r="O240" s="527"/>
      <c r="P240" s="515"/>
      <c r="Q240" s="515"/>
      <c r="R240" s="515"/>
      <c r="S240" s="515"/>
      <c r="T240" s="515"/>
      <c r="Y240" s="520"/>
      <c r="Z240" s="520"/>
    </row>
    <row r="241" spans="2:47" hidden="1" x14ac:dyDescent="0.45">
      <c r="B241" s="528" t="s">
        <v>859</v>
      </c>
      <c r="C241" s="528"/>
      <c r="G241" s="351"/>
      <c r="H241" s="516"/>
      <c r="I241" s="517"/>
      <c r="J241" s="515"/>
      <c r="K241" s="518"/>
      <c r="L241" s="518"/>
      <c r="M241" s="519"/>
      <c r="N241" s="519"/>
      <c r="O241" s="527"/>
      <c r="P241" s="515"/>
      <c r="Q241" s="515"/>
      <c r="R241" s="515"/>
      <c r="S241" s="515"/>
      <c r="T241" s="515"/>
      <c r="Y241" s="520"/>
      <c r="Z241" s="520"/>
    </row>
    <row r="242" spans="2:47" ht="15" hidden="1" customHeight="1" x14ac:dyDescent="0.45">
      <c r="B242" s="528"/>
      <c r="C242" s="528" t="s">
        <v>860</v>
      </c>
      <c r="D242" s="525"/>
      <c r="E242" s="525"/>
      <c r="F242" s="515"/>
      <c r="G242" s="351"/>
      <c r="H242" s="516"/>
      <c r="I242" s="526"/>
      <c r="J242" s="515"/>
      <c r="K242" s="518"/>
      <c r="L242" s="518"/>
      <c r="M242" s="519"/>
      <c r="N242" s="519"/>
      <c r="O242" s="527"/>
      <c r="P242" s="515"/>
      <c r="Q242" s="515"/>
      <c r="R242" s="515"/>
      <c r="S242" s="515"/>
      <c r="T242" s="515"/>
      <c r="Y242" s="520"/>
      <c r="Z242" s="520"/>
    </row>
    <row r="243" spans="2:47" hidden="1" x14ac:dyDescent="0.45">
      <c r="B243" s="528"/>
      <c r="C243" s="528"/>
      <c r="D243" s="525"/>
      <c r="E243" s="360"/>
      <c r="F243" s="360"/>
      <c r="G243" s="351"/>
      <c r="H243" s="360"/>
      <c r="I243" s="531"/>
      <c r="J243" s="360"/>
      <c r="K243" s="518"/>
      <c r="L243" s="518"/>
      <c r="M243" s="519"/>
      <c r="N243" s="519"/>
      <c r="O243" s="527"/>
      <c r="P243" s="515"/>
      <c r="Q243" s="515"/>
      <c r="R243" s="515"/>
      <c r="S243" s="515"/>
      <c r="T243" s="515"/>
    </row>
    <row r="244" spans="2:47" hidden="1" x14ac:dyDescent="0.45">
      <c r="B244" s="528" t="s">
        <v>861</v>
      </c>
      <c r="C244" s="528"/>
      <c r="D244" s="532"/>
      <c r="E244" s="533"/>
      <c r="F244" s="533"/>
      <c r="G244" s="351"/>
      <c r="H244" s="532"/>
      <c r="I244" s="534"/>
      <c r="J244" s="533"/>
      <c r="K244" s="518"/>
      <c r="L244" s="518"/>
      <c r="M244" s="519"/>
      <c r="N244" s="519"/>
      <c r="O244" s="527"/>
      <c r="P244" s="515"/>
      <c r="Q244" s="515"/>
      <c r="R244" s="515"/>
      <c r="S244" s="515"/>
      <c r="T244" s="515"/>
    </row>
    <row r="245" spans="2:47" ht="24" hidden="1" customHeight="1" x14ac:dyDescent="0.45">
      <c r="B245" s="528"/>
      <c r="C245" s="528" t="s">
        <v>862</v>
      </c>
      <c r="D245" s="532"/>
      <c r="E245" s="533"/>
      <c r="F245" s="533"/>
      <c r="G245" s="351"/>
      <c r="H245" s="532"/>
      <c r="I245" s="534"/>
      <c r="J245" s="533"/>
      <c r="K245" s="518"/>
      <c r="L245" s="518"/>
      <c r="M245" s="519"/>
      <c r="N245" s="519"/>
      <c r="O245" s="527"/>
      <c r="P245" s="515"/>
      <c r="Q245" s="515"/>
      <c r="R245" s="515"/>
      <c r="S245" s="515"/>
      <c r="T245" s="515"/>
    </row>
    <row r="246" spans="2:47" hidden="1" x14ac:dyDescent="0.45">
      <c r="B246" s="528"/>
      <c r="C246" s="528"/>
      <c r="D246" s="532"/>
      <c r="E246" s="533"/>
      <c r="F246" s="533"/>
      <c r="G246" s="351"/>
      <c r="H246" s="535"/>
      <c r="I246" s="534"/>
      <c r="J246" s="533"/>
      <c r="K246" s="518"/>
      <c r="L246" s="518"/>
      <c r="M246" s="519"/>
      <c r="N246" s="519"/>
      <c r="O246" s="527"/>
      <c r="P246" s="515"/>
      <c r="Q246" s="515"/>
      <c r="R246" s="515"/>
      <c r="S246" s="515"/>
      <c r="T246" s="515"/>
    </row>
    <row r="247" spans="2:47" hidden="1" x14ac:dyDescent="0.45">
      <c r="B247" s="528" t="s">
        <v>863</v>
      </c>
      <c r="C247" s="528"/>
      <c r="D247" s="525"/>
      <c r="E247" s="525"/>
      <c r="F247" s="515"/>
      <c r="G247" s="351"/>
      <c r="H247" s="516"/>
      <c r="I247" s="526"/>
      <c r="J247" s="515"/>
      <c r="K247" s="518"/>
      <c r="L247" s="518"/>
      <c r="M247" s="519"/>
      <c r="N247" s="519"/>
      <c r="O247" s="527"/>
      <c r="P247" s="515"/>
      <c r="Q247" s="515"/>
      <c r="R247" s="515"/>
      <c r="S247" s="515"/>
      <c r="T247" s="515"/>
    </row>
    <row r="248" spans="2:47" s="536" customFormat="1" ht="16.5" hidden="1" customHeight="1" x14ac:dyDescent="0.45">
      <c r="B248" s="528"/>
      <c r="C248" s="528" t="s">
        <v>864</v>
      </c>
      <c r="D248" s="528"/>
      <c r="G248" s="537"/>
      <c r="H248" s="538"/>
      <c r="I248" s="539"/>
      <c r="J248" s="540"/>
      <c r="K248" s="518"/>
      <c r="L248" s="518"/>
      <c r="M248" s="541"/>
      <c r="N248" s="541"/>
      <c r="O248" s="542"/>
      <c r="P248" s="540"/>
      <c r="Q248" s="540"/>
      <c r="R248" s="540"/>
      <c r="S248" s="540"/>
      <c r="T248" s="540"/>
      <c r="Y248" s="336"/>
      <c r="Z248" s="340"/>
      <c r="AA248" s="543"/>
      <c r="AB248" s="543"/>
      <c r="AC248" s="543"/>
      <c r="AD248" s="543"/>
      <c r="AE248" s="543"/>
      <c r="AF248" s="543"/>
      <c r="AG248" s="543"/>
      <c r="AH248" s="543"/>
      <c r="AI248" s="543"/>
      <c r="AJ248" s="543"/>
      <c r="AK248" s="543"/>
      <c r="AL248" s="543"/>
      <c r="AM248" s="543"/>
      <c r="AN248" s="543"/>
      <c r="AO248" s="543"/>
      <c r="AP248" s="543"/>
      <c r="AQ248" s="543"/>
      <c r="AR248" s="543"/>
      <c r="AS248" s="543"/>
      <c r="AT248" s="543"/>
      <c r="AU248" s="543"/>
    </row>
    <row r="249" spans="2:47" s="536" customFormat="1" hidden="1" x14ac:dyDescent="0.45">
      <c r="B249" s="528"/>
      <c r="C249" s="528"/>
      <c r="D249" s="528"/>
      <c r="G249" s="537"/>
      <c r="H249" s="356"/>
      <c r="I249" s="544"/>
      <c r="K249" s="337"/>
      <c r="L249" s="337"/>
      <c r="M249" s="545"/>
      <c r="N249" s="545"/>
      <c r="O249" s="546"/>
      <c r="Y249" s="336"/>
      <c r="Z249" s="340"/>
      <c r="AA249" s="543"/>
      <c r="AB249" s="543"/>
      <c r="AC249" s="543"/>
      <c r="AD249" s="543"/>
      <c r="AE249" s="543"/>
      <c r="AF249" s="543"/>
      <c r="AG249" s="543"/>
      <c r="AH249" s="543"/>
      <c r="AI249" s="543"/>
      <c r="AJ249" s="543"/>
      <c r="AK249" s="543"/>
      <c r="AL249" s="543"/>
      <c r="AM249" s="543"/>
      <c r="AN249" s="543"/>
      <c r="AO249" s="543"/>
      <c r="AP249" s="543"/>
      <c r="AQ249" s="543"/>
      <c r="AR249" s="543"/>
      <c r="AS249" s="543"/>
      <c r="AT249" s="543"/>
      <c r="AU249" s="543"/>
    </row>
    <row r="250" spans="2:47" s="536" customFormat="1" hidden="1" x14ac:dyDescent="0.45">
      <c r="B250" s="528" t="s">
        <v>865</v>
      </c>
      <c r="C250" s="528"/>
      <c r="D250" s="528"/>
      <c r="G250" s="537"/>
      <c r="H250" s="356"/>
      <c r="I250" s="544"/>
      <c r="K250" s="337"/>
      <c r="L250" s="337"/>
      <c r="M250" s="545"/>
      <c r="N250" s="545"/>
      <c r="O250" s="546"/>
      <c r="Y250" s="336"/>
      <c r="Z250" s="340"/>
      <c r="AA250" s="543"/>
      <c r="AB250" s="543"/>
      <c r="AC250" s="543"/>
      <c r="AD250" s="543"/>
      <c r="AE250" s="543"/>
      <c r="AF250" s="543"/>
      <c r="AG250" s="543"/>
      <c r="AH250" s="543"/>
      <c r="AI250" s="543"/>
      <c r="AJ250" s="543"/>
      <c r="AK250" s="543"/>
      <c r="AL250" s="543"/>
      <c r="AM250" s="543"/>
      <c r="AN250" s="543"/>
      <c r="AO250" s="543"/>
      <c r="AP250" s="543"/>
      <c r="AQ250" s="543"/>
      <c r="AR250" s="543"/>
      <c r="AS250" s="543"/>
      <c r="AT250" s="543"/>
      <c r="AU250" s="543"/>
    </row>
    <row r="251" spans="2:47" s="536" customFormat="1" hidden="1" x14ac:dyDescent="0.45">
      <c r="B251" s="528"/>
      <c r="C251" s="528" t="s">
        <v>866</v>
      </c>
      <c r="D251" s="528"/>
      <c r="G251" s="537"/>
      <c r="H251" s="356"/>
      <c r="I251" s="544"/>
      <c r="K251" s="337"/>
      <c r="L251" s="337"/>
      <c r="M251" s="545"/>
      <c r="N251" s="545"/>
      <c r="O251" s="546"/>
      <c r="Y251" s="336"/>
      <c r="Z251" s="340"/>
      <c r="AA251" s="543"/>
      <c r="AB251" s="543"/>
      <c r="AC251" s="543"/>
      <c r="AD251" s="543"/>
      <c r="AE251" s="543"/>
      <c r="AF251" s="543"/>
      <c r="AG251" s="543"/>
      <c r="AH251" s="543"/>
      <c r="AI251" s="543"/>
      <c r="AJ251" s="543"/>
      <c r="AK251" s="543"/>
      <c r="AL251" s="543"/>
      <c r="AM251" s="543"/>
      <c r="AN251" s="543"/>
      <c r="AO251" s="543"/>
      <c r="AP251" s="543"/>
      <c r="AQ251" s="543"/>
      <c r="AR251" s="543"/>
      <c r="AS251" s="543"/>
      <c r="AT251" s="543"/>
      <c r="AU251" s="543"/>
    </row>
    <row r="252" spans="2:47" s="536" customFormat="1" hidden="1" x14ac:dyDescent="0.45">
      <c r="B252" s="528"/>
      <c r="C252" s="528"/>
      <c r="D252" s="528"/>
      <c r="G252" s="537"/>
      <c r="H252" s="356"/>
      <c r="I252" s="544"/>
      <c r="K252" s="337"/>
      <c r="L252" s="337"/>
      <c r="M252" s="545"/>
      <c r="N252" s="545"/>
      <c r="O252" s="546"/>
      <c r="Y252" s="336"/>
      <c r="Z252" s="340"/>
      <c r="AA252" s="543"/>
      <c r="AB252" s="543"/>
      <c r="AC252" s="543"/>
      <c r="AD252" s="543"/>
      <c r="AE252" s="543"/>
      <c r="AF252" s="543"/>
      <c r="AG252" s="543"/>
      <c r="AH252" s="543"/>
      <c r="AI252" s="543"/>
      <c r="AJ252" s="543"/>
      <c r="AK252" s="543"/>
      <c r="AL252" s="543"/>
      <c r="AM252" s="543"/>
      <c r="AN252" s="543"/>
      <c r="AO252" s="543"/>
      <c r="AP252" s="543"/>
      <c r="AQ252" s="543"/>
      <c r="AR252" s="543"/>
      <c r="AS252" s="543"/>
      <c r="AT252" s="543"/>
      <c r="AU252" s="543"/>
    </row>
    <row r="253" spans="2:47" s="536" customFormat="1" hidden="1" x14ac:dyDescent="0.45">
      <c r="B253" s="528" t="s">
        <v>867</v>
      </c>
      <c r="C253" s="528"/>
      <c r="D253" s="528"/>
      <c r="G253" s="537"/>
      <c r="H253" s="356"/>
      <c r="I253" s="544"/>
      <c r="K253" s="337"/>
      <c r="L253" s="337"/>
      <c r="M253" s="545"/>
      <c r="N253" s="545"/>
      <c r="O253" s="546"/>
      <c r="Y253" s="336"/>
      <c r="Z253" s="340"/>
      <c r="AA253" s="543"/>
      <c r="AB253" s="543"/>
      <c r="AC253" s="543"/>
      <c r="AD253" s="543"/>
      <c r="AE253" s="543"/>
      <c r="AF253" s="543"/>
      <c r="AG253" s="543"/>
      <c r="AH253" s="543"/>
      <c r="AI253" s="543"/>
      <c r="AJ253" s="543"/>
      <c r="AK253" s="543"/>
      <c r="AL253" s="543"/>
      <c r="AM253" s="543"/>
      <c r="AN253" s="543"/>
      <c r="AO253" s="543"/>
      <c r="AP253" s="543"/>
      <c r="AQ253" s="543"/>
      <c r="AR253" s="543"/>
      <c r="AS253" s="543"/>
      <c r="AT253" s="543"/>
      <c r="AU253" s="543"/>
    </row>
    <row r="254" spans="2:47" s="536" customFormat="1" hidden="1" x14ac:dyDescent="0.45">
      <c r="B254" s="528"/>
      <c r="C254" s="528" t="s">
        <v>866</v>
      </c>
      <c r="D254" s="528"/>
      <c r="G254" s="537"/>
      <c r="H254" s="356"/>
      <c r="I254" s="544"/>
      <c r="K254" s="337"/>
      <c r="L254" s="337"/>
      <c r="M254" s="545"/>
      <c r="N254" s="545"/>
      <c r="O254" s="546"/>
      <c r="Y254" s="336"/>
      <c r="Z254" s="340"/>
      <c r="AA254" s="543"/>
      <c r="AB254" s="543"/>
      <c r="AC254" s="543"/>
      <c r="AD254" s="543"/>
      <c r="AE254" s="543"/>
      <c r="AF254" s="543"/>
      <c r="AG254" s="543"/>
      <c r="AH254" s="543"/>
      <c r="AI254" s="543"/>
      <c r="AJ254" s="543"/>
      <c r="AK254" s="543"/>
      <c r="AL254" s="543"/>
      <c r="AM254" s="543"/>
      <c r="AN254" s="543"/>
      <c r="AO254" s="543"/>
      <c r="AP254" s="543"/>
      <c r="AQ254" s="543"/>
      <c r="AR254" s="543"/>
      <c r="AS254" s="543"/>
      <c r="AT254" s="543"/>
      <c r="AU254" s="543"/>
    </row>
    <row r="255" spans="2:47" s="536" customFormat="1" hidden="1" x14ac:dyDescent="0.45">
      <c r="B255" s="528"/>
      <c r="C255" s="528"/>
      <c r="D255" s="528"/>
      <c r="G255" s="537"/>
      <c r="H255" s="356"/>
      <c r="I255" s="544"/>
      <c r="K255" s="337"/>
      <c r="L255" s="337"/>
      <c r="M255" s="545"/>
      <c r="N255" s="545"/>
      <c r="O255" s="546"/>
      <c r="Y255" s="336"/>
      <c r="Z255" s="340"/>
      <c r="AA255" s="543"/>
      <c r="AB255" s="543"/>
      <c r="AC255" s="543"/>
      <c r="AD255" s="543"/>
      <c r="AE255" s="543"/>
      <c r="AF255" s="543"/>
      <c r="AG255" s="543"/>
      <c r="AH255" s="543"/>
      <c r="AI255" s="543"/>
      <c r="AJ255" s="543"/>
      <c r="AK255" s="543"/>
      <c r="AL255" s="543"/>
      <c r="AM255" s="543"/>
      <c r="AN255" s="543"/>
      <c r="AO255" s="543"/>
      <c r="AP255" s="543"/>
      <c r="AQ255" s="543"/>
      <c r="AR255" s="543"/>
      <c r="AS255" s="543"/>
      <c r="AT255" s="543"/>
      <c r="AU255" s="543"/>
    </row>
    <row r="256" spans="2:47" s="536" customFormat="1" hidden="1" x14ac:dyDescent="0.45">
      <c r="B256" s="547" t="s">
        <v>868</v>
      </c>
      <c r="C256" s="547"/>
      <c r="D256" s="528"/>
      <c r="G256" s="537"/>
      <c r="H256" s="356"/>
      <c r="I256" s="544"/>
      <c r="K256" s="337"/>
      <c r="L256" s="337"/>
      <c r="M256" s="545"/>
      <c r="N256" s="545"/>
      <c r="O256" s="546"/>
      <c r="Y256" s="336"/>
      <c r="Z256" s="340"/>
      <c r="AA256" s="543"/>
      <c r="AB256" s="543"/>
      <c r="AC256" s="543"/>
      <c r="AD256" s="543"/>
      <c r="AE256" s="543"/>
      <c r="AF256" s="543"/>
      <c r="AG256" s="543"/>
      <c r="AH256" s="543"/>
      <c r="AI256" s="543"/>
      <c r="AJ256" s="543"/>
      <c r="AK256" s="543"/>
      <c r="AL256" s="543"/>
      <c r="AM256" s="543"/>
      <c r="AN256" s="543"/>
      <c r="AO256" s="543"/>
      <c r="AP256" s="543"/>
      <c r="AQ256" s="543"/>
      <c r="AR256" s="543"/>
      <c r="AS256" s="543"/>
      <c r="AT256" s="543"/>
      <c r="AU256" s="543"/>
    </row>
    <row r="257" spans="2:47" s="536" customFormat="1" hidden="1" x14ac:dyDescent="0.45">
      <c r="B257" s="547"/>
      <c r="C257" s="547" t="s">
        <v>869</v>
      </c>
      <c r="D257" s="528"/>
      <c r="G257" s="537"/>
      <c r="H257" s="356"/>
      <c r="I257" s="544"/>
      <c r="K257" s="337"/>
      <c r="L257" s="337"/>
      <c r="M257" s="545"/>
      <c r="N257" s="545"/>
      <c r="O257" s="546"/>
      <c r="Y257" s="336"/>
      <c r="Z257" s="340"/>
      <c r="AA257" s="543"/>
      <c r="AB257" s="543"/>
      <c r="AC257" s="543"/>
      <c r="AD257" s="543"/>
      <c r="AE257" s="543"/>
      <c r="AF257" s="543"/>
      <c r="AG257" s="543"/>
      <c r="AH257" s="543"/>
      <c r="AI257" s="543"/>
      <c r="AJ257" s="543"/>
      <c r="AK257" s="543"/>
      <c r="AL257" s="543"/>
      <c r="AM257" s="543"/>
      <c r="AN257" s="543"/>
      <c r="AO257" s="543"/>
      <c r="AP257" s="543"/>
      <c r="AQ257" s="543"/>
      <c r="AR257" s="543"/>
      <c r="AS257" s="543"/>
      <c r="AT257" s="543"/>
      <c r="AU257" s="543"/>
    </row>
    <row r="258" spans="2:47" s="536" customFormat="1" hidden="1" x14ac:dyDescent="0.45">
      <c r="B258" s="528"/>
      <c r="C258" s="528"/>
      <c r="D258" s="528"/>
      <c r="G258" s="537"/>
      <c r="H258" s="356"/>
      <c r="I258" s="544"/>
      <c r="K258" s="337"/>
      <c r="L258" s="337"/>
      <c r="M258" s="545"/>
      <c r="N258" s="545"/>
      <c r="O258" s="546"/>
      <c r="Y258" s="336"/>
      <c r="Z258" s="340"/>
      <c r="AA258" s="543"/>
      <c r="AB258" s="543"/>
      <c r="AC258" s="543"/>
      <c r="AD258" s="543"/>
      <c r="AE258" s="543"/>
      <c r="AF258" s="543"/>
      <c r="AG258" s="543"/>
      <c r="AH258" s="543"/>
      <c r="AI258" s="543"/>
      <c r="AJ258" s="543"/>
      <c r="AK258" s="543"/>
      <c r="AL258" s="543"/>
      <c r="AM258" s="543"/>
      <c r="AN258" s="543"/>
      <c r="AO258" s="543"/>
      <c r="AP258" s="543"/>
      <c r="AQ258" s="543"/>
      <c r="AR258" s="543"/>
      <c r="AS258" s="543"/>
      <c r="AT258" s="543"/>
      <c r="AU258" s="543"/>
    </row>
    <row r="259" spans="2:47" s="536" customFormat="1" x14ac:dyDescent="0.45">
      <c r="B259" s="528"/>
      <c r="C259" s="528"/>
      <c r="D259" s="528"/>
      <c r="G259" s="537"/>
      <c r="H259" s="356"/>
      <c r="I259" s="544"/>
      <c r="K259" s="337"/>
      <c r="L259" s="337"/>
      <c r="M259" s="545"/>
      <c r="N259" s="545"/>
      <c r="O259" s="546"/>
      <c r="Y259" s="336"/>
      <c r="Z259" s="340"/>
      <c r="AA259" s="543"/>
      <c r="AB259" s="543"/>
      <c r="AC259" s="543"/>
      <c r="AD259" s="543"/>
      <c r="AE259" s="543"/>
      <c r="AF259" s="543"/>
      <c r="AG259" s="543"/>
      <c r="AH259" s="543"/>
      <c r="AI259" s="543"/>
      <c r="AJ259" s="543"/>
      <c r="AK259" s="543"/>
      <c r="AL259" s="543"/>
      <c r="AM259" s="543"/>
      <c r="AN259" s="543"/>
      <c r="AO259" s="543"/>
      <c r="AP259" s="543"/>
      <c r="AQ259" s="543"/>
      <c r="AR259" s="543"/>
      <c r="AS259" s="543"/>
      <c r="AT259" s="543"/>
      <c r="AU259" s="543"/>
    </row>
    <row r="260" spans="2:47" s="536" customFormat="1" x14ac:dyDescent="0.45">
      <c r="B260" s="528"/>
      <c r="C260" s="528"/>
      <c r="D260" s="528"/>
      <c r="G260" s="537"/>
      <c r="H260" s="356"/>
      <c r="I260" s="544"/>
      <c r="K260" s="337"/>
      <c r="L260" s="337"/>
      <c r="M260" s="545"/>
      <c r="N260" s="545"/>
      <c r="O260" s="546"/>
      <c r="Y260" s="336"/>
      <c r="Z260" s="340"/>
      <c r="AA260" s="543"/>
      <c r="AB260" s="543"/>
      <c r="AC260" s="543"/>
      <c r="AD260" s="543"/>
      <c r="AE260" s="543"/>
      <c r="AF260" s="543"/>
      <c r="AG260" s="543"/>
      <c r="AH260" s="543"/>
      <c r="AI260" s="543"/>
      <c r="AJ260" s="543"/>
      <c r="AK260" s="543"/>
      <c r="AL260" s="543"/>
      <c r="AM260" s="543"/>
      <c r="AN260" s="543"/>
      <c r="AO260" s="543"/>
      <c r="AP260" s="543"/>
      <c r="AQ260" s="543"/>
      <c r="AR260" s="543"/>
      <c r="AS260" s="543"/>
      <c r="AT260" s="543"/>
      <c r="AU260" s="543"/>
    </row>
    <row r="261" spans="2:47" s="536" customFormat="1" x14ac:dyDescent="0.45">
      <c r="B261" s="528"/>
      <c r="C261" s="528"/>
      <c r="D261" s="528"/>
      <c r="G261" s="537"/>
      <c r="H261" s="356"/>
      <c r="I261" s="544"/>
      <c r="K261" s="337"/>
      <c r="L261" s="337"/>
      <c r="M261" s="545"/>
      <c r="N261" s="545"/>
      <c r="O261" s="546"/>
      <c r="Y261" s="336"/>
      <c r="Z261" s="340"/>
      <c r="AA261" s="543"/>
      <c r="AB261" s="543"/>
      <c r="AC261" s="543"/>
      <c r="AD261" s="543"/>
      <c r="AE261" s="543"/>
      <c r="AF261" s="543"/>
      <c r="AG261" s="543"/>
      <c r="AH261" s="543"/>
      <c r="AI261" s="543"/>
      <c r="AJ261" s="543"/>
      <c r="AK261" s="543"/>
      <c r="AL261" s="543"/>
      <c r="AM261" s="543"/>
      <c r="AN261" s="543"/>
      <c r="AO261" s="543"/>
      <c r="AP261" s="543"/>
      <c r="AQ261" s="543"/>
      <c r="AR261" s="543"/>
      <c r="AS261" s="543"/>
      <c r="AT261" s="543"/>
      <c r="AU261" s="543"/>
    </row>
    <row r="262" spans="2:47" s="536" customFormat="1" x14ac:dyDescent="0.45">
      <c r="B262" s="528"/>
      <c r="C262" s="528"/>
      <c r="D262" s="528"/>
      <c r="G262" s="537"/>
      <c r="H262" s="356"/>
      <c r="I262" s="544"/>
      <c r="K262" s="337"/>
      <c r="L262" s="337"/>
      <c r="M262" s="545"/>
      <c r="N262" s="545"/>
      <c r="O262" s="546"/>
      <c r="Y262" s="336"/>
      <c r="Z262" s="340"/>
      <c r="AA262" s="543"/>
      <c r="AB262" s="543"/>
      <c r="AC262" s="543"/>
      <c r="AD262" s="543"/>
      <c r="AE262" s="543"/>
      <c r="AF262" s="543"/>
      <c r="AG262" s="543"/>
      <c r="AH262" s="543"/>
      <c r="AI262" s="543"/>
      <c r="AJ262" s="543"/>
      <c r="AK262" s="543"/>
      <c r="AL262" s="543"/>
      <c r="AM262" s="543"/>
      <c r="AN262" s="543"/>
      <c r="AO262" s="543"/>
      <c r="AP262" s="543"/>
      <c r="AQ262" s="543"/>
      <c r="AR262" s="543"/>
      <c r="AS262" s="543"/>
      <c r="AT262" s="543"/>
      <c r="AU262" s="543"/>
    </row>
    <row r="263" spans="2:47" s="536" customFormat="1" x14ac:dyDescent="0.45">
      <c r="B263" s="528"/>
      <c r="C263" s="528"/>
      <c r="D263" s="528"/>
      <c r="G263" s="537"/>
      <c r="H263" s="356"/>
      <c r="I263" s="544"/>
      <c r="K263" s="337"/>
      <c r="L263" s="337"/>
      <c r="M263" s="545"/>
      <c r="N263" s="545"/>
      <c r="O263" s="546"/>
      <c r="Y263" s="336"/>
      <c r="Z263" s="340"/>
      <c r="AA263" s="543"/>
      <c r="AB263" s="543"/>
      <c r="AC263" s="543"/>
      <c r="AD263" s="543"/>
      <c r="AE263" s="543"/>
      <c r="AF263" s="543"/>
      <c r="AG263" s="543"/>
      <c r="AH263" s="543"/>
      <c r="AI263" s="543"/>
      <c r="AJ263" s="543"/>
      <c r="AK263" s="543"/>
      <c r="AL263" s="543"/>
      <c r="AM263" s="543"/>
      <c r="AN263" s="543"/>
      <c r="AO263" s="543"/>
      <c r="AP263" s="543"/>
      <c r="AQ263" s="543"/>
      <c r="AR263" s="543"/>
      <c r="AS263" s="543"/>
      <c r="AT263" s="543"/>
      <c r="AU263" s="543"/>
    </row>
    <row r="264" spans="2:47" s="536" customFormat="1" x14ac:dyDescent="0.45">
      <c r="B264" s="528"/>
      <c r="C264" s="528"/>
      <c r="D264" s="528"/>
      <c r="G264" s="537"/>
      <c r="H264" s="356"/>
      <c r="I264" s="544"/>
      <c r="K264" s="337"/>
      <c r="L264" s="337"/>
      <c r="M264" s="545"/>
      <c r="N264" s="545"/>
      <c r="O264" s="546"/>
      <c r="Y264" s="336"/>
      <c r="Z264" s="340"/>
      <c r="AA264" s="543"/>
      <c r="AB264" s="543"/>
      <c r="AC264" s="543"/>
      <c r="AD264" s="543"/>
      <c r="AE264" s="543"/>
      <c r="AF264" s="543"/>
      <c r="AG264" s="543"/>
      <c r="AH264" s="543"/>
      <c r="AI264" s="543"/>
      <c r="AJ264" s="543"/>
      <c r="AK264" s="543"/>
      <c r="AL264" s="543"/>
      <c r="AM264" s="543"/>
      <c r="AN264" s="543"/>
      <c r="AO264" s="543"/>
      <c r="AP264" s="543"/>
      <c r="AQ264" s="543"/>
      <c r="AR264" s="543"/>
      <c r="AS264" s="543"/>
      <c r="AT264" s="543"/>
      <c r="AU264" s="543"/>
    </row>
    <row r="265" spans="2:47" s="536" customFormat="1" x14ac:dyDescent="0.45">
      <c r="B265" s="528"/>
      <c r="C265" s="528"/>
      <c r="D265" s="528"/>
      <c r="G265" s="537"/>
      <c r="H265" s="356"/>
      <c r="I265" s="544"/>
      <c r="K265" s="337"/>
      <c r="L265" s="337"/>
      <c r="M265" s="545"/>
      <c r="N265" s="545"/>
      <c r="O265" s="546"/>
      <c r="Y265" s="336"/>
      <c r="Z265" s="340"/>
      <c r="AA265" s="543"/>
      <c r="AB265" s="543"/>
      <c r="AC265" s="543"/>
      <c r="AD265" s="543"/>
      <c r="AE265" s="543"/>
      <c r="AF265" s="543"/>
      <c r="AG265" s="543"/>
      <c r="AH265" s="543"/>
      <c r="AI265" s="543"/>
      <c r="AJ265" s="543"/>
      <c r="AK265" s="543"/>
      <c r="AL265" s="543"/>
      <c r="AM265" s="543"/>
      <c r="AN265" s="543"/>
      <c r="AO265" s="543"/>
      <c r="AP265" s="543"/>
      <c r="AQ265" s="543"/>
      <c r="AR265" s="543"/>
      <c r="AS265" s="543"/>
      <c r="AT265" s="543"/>
      <c r="AU265" s="543"/>
    </row>
    <row r="266" spans="2:47" s="536" customFormat="1" x14ac:dyDescent="0.45">
      <c r="B266" s="528"/>
      <c r="C266" s="528"/>
      <c r="D266" s="528"/>
      <c r="G266" s="537"/>
      <c r="H266" s="356"/>
      <c r="I266" s="544"/>
      <c r="K266" s="337"/>
      <c r="L266" s="337"/>
      <c r="M266" s="545"/>
      <c r="N266" s="545"/>
      <c r="O266" s="546"/>
      <c r="Y266" s="336"/>
      <c r="Z266" s="340"/>
      <c r="AA266" s="543"/>
      <c r="AB266" s="543"/>
      <c r="AC266" s="543"/>
      <c r="AD266" s="543"/>
      <c r="AE266" s="543"/>
      <c r="AF266" s="543"/>
      <c r="AG266" s="543"/>
      <c r="AH266" s="543"/>
      <c r="AI266" s="543"/>
      <c r="AJ266" s="543"/>
      <c r="AK266" s="543"/>
      <c r="AL266" s="543"/>
      <c r="AM266" s="543"/>
      <c r="AN266" s="543"/>
      <c r="AO266" s="543"/>
      <c r="AP266" s="543"/>
      <c r="AQ266" s="543"/>
      <c r="AR266" s="543"/>
      <c r="AS266" s="543"/>
      <c r="AT266" s="543"/>
      <c r="AU266" s="543"/>
    </row>
    <row r="267" spans="2:47" s="536" customFormat="1" x14ac:dyDescent="0.45">
      <c r="B267" s="528"/>
      <c r="C267" s="528"/>
      <c r="D267" s="528"/>
      <c r="G267" s="537"/>
      <c r="H267" s="356"/>
      <c r="I267" s="544"/>
      <c r="K267" s="337"/>
      <c r="L267" s="337"/>
      <c r="M267" s="545"/>
      <c r="N267" s="545"/>
      <c r="O267" s="546"/>
      <c r="Y267" s="336"/>
      <c r="Z267" s="340"/>
      <c r="AA267" s="543"/>
      <c r="AB267" s="543"/>
      <c r="AC267" s="543"/>
      <c r="AD267" s="543"/>
      <c r="AE267" s="543"/>
      <c r="AF267" s="543"/>
      <c r="AG267" s="543"/>
      <c r="AH267" s="543"/>
      <c r="AI267" s="543"/>
      <c r="AJ267" s="543"/>
      <c r="AK267" s="543"/>
      <c r="AL267" s="543"/>
      <c r="AM267" s="543"/>
      <c r="AN267" s="543"/>
      <c r="AO267" s="543"/>
      <c r="AP267" s="543"/>
      <c r="AQ267" s="543"/>
      <c r="AR267" s="543"/>
      <c r="AS267" s="543"/>
      <c r="AT267" s="543"/>
      <c r="AU267" s="543"/>
    </row>
    <row r="268" spans="2:47" s="536" customFormat="1" x14ac:dyDescent="0.45">
      <c r="B268" s="528"/>
      <c r="C268" s="528"/>
      <c r="D268" s="528"/>
      <c r="G268" s="537"/>
      <c r="H268" s="356"/>
      <c r="I268" s="544"/>
      <c r="K268" s="337"/>
      <c r="L268" s="337"/>
      <c r="M268" s="545"/>
      <c r="N268" s="545"/>
      <c r="O268" s="546"/>
      <c r="Y268" s="336"/>
      <c r="Z268" s="340"/>
      <c r="AA268" s="543"/>
      <c r="AB268" s="543"/>
      <c r="AC268" s="543"/>
      <c r="AD268" s="543"/>
      <c r="AE268" s="543"/>
      <c r="AF268" s="543"/>
      <c r="AG268" s="543"/>
      <c r="AH268" s="543"/>
      <c r="AI268" s="543"/>
      <c r="AJ268" s="543"/>
      <c r="AK268" s="543"/>
      <c r="AL268" s="543"/>
      <c r="AM268" s="543"/>
      <c r="AN268" s="543"/>
      <c r="AO268" s="543"/>
      <c r="AP268" s="543"/>
      <c r="AQ268" s="543"/>
      <c r="AR268" s="543"/>
      <c r="AS268" s="543"/>
      <c r="AT268" s="543"/>
      <c r="AU268" s="543"/>
    </row>
    <row r="269" spans="2:47" s="536" customFormat="1" x14ac:dyDescent="0.45">
      <c r="B269" s="528"/>
      <c r="C269" s="528"/>
      <c r="D269" s="528"/>
      <c r="G269" s="537"/>
      <c r="H269" s="356"/>
      <c r="I269" s="544"/>
      <c r="K269" s="337"/>
      <c r="L269" s="337"/>
      <c r="M269" s="545"/>
      <c r="N269" s="545"/>
      <c r="O269" s="546"/>
      <c r="Y269" s="336"/>
      <c r="Z269" s="340"/>
      <c r="AA269" s="543"/>
      <c r="AB269" s="543"/>
      <c r="AC269" s="543"/>
      <c r="AD269" s="543"/>
      <c r="AE269" s="543"/>
      <c r="AF269" s="543"/>
      <c r="AG269" s="543"/>
      <c r="AH269" s="543"/>
      <c r="AI269" s="543"/>
      <c r="AJ269" s="543"/>
      <c r="AK269" s="543"/>
      <c r="AL269" s="543"/>
      <c r="AM269" s="543"/>
      <c r="AN269" s="543"/>
      <c r="AO269" s="543"/>
      <c r="AP269" s="543"/>
      <c r="AQ269" s="543"/>
      <c r="AR269" s="543"/>
      <c r="AS269" s="543"/>
      <c r="AT269" s="543"/>
      <c r="AU269" s="543"/>
    </row>
    <row r="270" spans="2:47" s="536" customFormat="1" x14ac:dyDescent="0.45">
      <c r="B270" s="528"/>
      <c r="C270" s="528"/>
      <c r="D270" s="528"/>
      <c r="G270" s="537"/>
      <c r="H270" s="356"/>
      <c r="I270" s="544"/>
      <c r="K270" s="337"/>
      <c r="L270" s="337"/>
      <c r="M270" s="545"/>
      <c r="N270" s="545"/>
      <c r="O270" s="546"/>
      <c r="Y270" s="336"/>
      <c r="Z270" s="340"/>
      <c r="AA270" s="543"/>
      <c r="AB270" s="543"/>
      <c r="AC270" s="543"/>
      <c r="AD270" s="543"/>
      <c r="AE270" s="543"/>
      <c r="AF270" s="543"/>
      <c r="AG270" s="543"/>
      <c r="AH270" s="543"/>
      <c r="AI270" s="543"/>
      <c r="AJ270" s="543"/>
      <c r="AK270" s="543"/>
      <c r="AL270" s="543"/>
      <c r="AM270" s="543"/>
      <c r="AN270" s="543"/>
      <c r="AO270" s="543"/>
      <c r="AP270" s="543"/>
      <c r="AQ270" s="543"/>
      <c r="AR270" s="543"/>
      <c r="AS270" s="543"/>
      <c r="AT270" s="543"/>
      <c r="AU270" s="543"/>
    </row>
    <row r="271" spans="2:47" s="536" customFormat="1" x14ac:dyDescent="0.45">
      <c r="B271" s="528"/>
      <c r="C271" s="528"/>
      <c r="D271" s="528"/>
      <c r="G271" s="537"/>
      <c r="H271" s="356"/>
      <c r="I271" s="544"/>
      <c r="K271" s="337"/>
      <c r="L271" s="337"/>
      <c r="M271" s="545"/>
      <c r="N271" s="545"/>
      <c r="O271" s="546"/>
      <c r="Y271" s="336"/>
      <c r="Z271" s="340"/>
      <c r="AA271" s="543"/>
      <c r="AB271" s="543"/>
      <c r="AC271" s="543"/>
      <c r="AD271" s="543"/>
      <c r="AE271" s="543"/>
      <c r="AF271" s="543"/>
      <c r="AG271" s="543"/>
      <c r="AH271" s="543"/>
      <c r="AI271" s="543"/>
      <c r="AJ271" s="543"/>
      <c r="AK271" s="543"/>
      <c r="AL271" s="543"/>
      <c r="AM271" s="543"/>
      <c r="AN271" s="543"/>
      <c r="AO271" s="543"/>
      <c r="AP271" s="543"/>
      <c r="AQ271" s="543"/>
      <c r="AR271" s="543"/>
      <c r="AS271" s="543"/>
      <c r="AT271" s="543"/>
      <c r="AU271" s="543"/>
    </row>
    <row r="272" spans="2:47" s="536" customFormat="1" x14ac:dyDescent="0.45">
      <c r="B272" s="528"/>
      <c r="C272" s="528"/>
      <c r="D272" s="528"/>
      <c r="G272" s="537"/>
      <c r="H272" s="356"/>
      <c r="I272" s="544"/>
      <c r="K272" s="337"/>
      <c r="L272" s="337"/>
      <c r="M272" s="545"/>
      <c r="N272" s="545"/>
      <c r="O272" s="546"/>
      <c r="Y272" s="336"/>
      <c r="Z272" s="340"/>
      <c r="AA272" s="543"/>
      <c r="AB272" s="543"/>
      <c r="AC272" s="543"/>
      <c r="AD272" s="543"/>
      <c r="AE272" s="543"/>
      <c r="AF272" s="543"/>
      <c r="AG272" s="543"/>
      <c r="AH272" s="543"/>
      <c r="AI272" s="543"/>
      <c r="AJ272" s="543"/>
      <c r="AK272" s="543"/>
      <c r="AL272" s="543"/>
      <c r="AM272" s="543"/>
      <c r="AN272" s="543"/>
      <c r="AO272" s="543"/>
      <c r="AP272" s="543"/>
      <c r="AQ272" s="543"/>
      <c r="AR272" s="543"/>
      <c r="AS272" s="543"/>
      <c r="AT272" s="543"/>
      <c r="AU272" s="543"/>
    </row>
    <row r="273" spans="2:47" s="536" customFormat="1" x14ac:dyDescent="0.45">
      <c r="B273" s="528"/>
      <c r="C273" s="528"/>
      <c r="D273" s="528"/>
      <c r="G273" s="537"/>
      <c r="H273" s="356"/>
      <c r="I273" s="544"/>
      <c r="K273" s="337"/>
      <c r="L273" s="337"/>
      <c r="M273" s="545"/>
      <c r="N273" s="545"/>
      <c r="O273" s="546"/>
      <c r="Y273" s="336"/>
      <c r="Z273" s="340"/>
      <c r="AA273" s="543"/>
      <c r="AB273" s="543"/>
      <c r="AC273" s="543"/>
      <c r="AD273" s="543"/>
      <c r="AE273" s="543"/>
      <c r="AF273" s="543"/>
      <c r="AG273" s="543"/>
      <c r="AH273" s="543"/>
      <c r="AI273" s="543"/>
      <c r="AJ273" s="543"/>
      <c r="AK273" s="543"/>
      <c r="AL273" s="543"/>
      <c r="AM273" s="543"/>
      <c r="AN273" s="543"/>
      <c r="AO273" s="543"/>
      <c r="AP273" s="543"/>
      <c r="AQ273" s="543"/>
      <c r="AR273" s="543"/>
      <c r="AS273" s="543"/>
      <c r="AT273" s="543"/>
      <c r="AU273" s="543"/>
    </row>
    <row r="274" spans="2:47" s="536" customFormat="1" x14ac:dyDescent="0.45">
      <c r="B274" s="528"/>
      <c r="C274" s="528"/>
      <c r="D274" s="528"/>
      <c r="G274" s="537"/>
      <c r="H274" s="356"/>
      <c r="I274" s="544"/>
      <c r="K274" s="337"/>
      <c r="L274" s="337"/>
      <c r="M274" s="545"/>
      <c r="N274" s="545"/>
      <c r="O274" s="546"/>
      <c r="Y274" s="336"/>
      <c r="Z274" s="340"/>
      <c r="AA274" s="543"/>
      <c r="AB274" s="543"/>
      <c r="AC274" s="543"/>
      <c r="AD274" s="543"/>
      <c r="AE274" s="543"/>
      <c r="AF274" s="543"/>
      <c r="AG274" s="543"/>
      <c r="AH274" s="543"/>
      <c r="AI274" s="543"/>
      <c r="AJ274" s="543"/>
      <c r="AK274" s="543"/>
      <c r="AL274" s="543"/>
      <c r="AM274" s="543"/>
      <c r="AN274" s="543"/>
      <c r="AO274" s="543"/>
      <c r="AP274" s="543"/>
      <c r="AQ274" s="543"/>
      <c r="AR274" s="543"/>
      <c r="AS274" s="543"/>
      <c r="AT274" s="543"/>
      <c r="AU274" s="543"/>
    </row>
    <row r="275" spans="2:47" s="536" customFormat="1" x14ac:dyDescent="0.45">
      <c r="B275" s="528"/>
      <c r="C275" s="528"/>
      <c r="D275" s="528"/>
      <c r="G275" s="537"/>
      <c r="H275" s="356"/>
      <c r="I275" s="544"/>
      <c r="K275" s="337"/>
      <c r="L275" s="337"/>
      <c r="M275" s="545"/>
      <c r="N275" s="545"/>
      <c r="O275" s="546"/>
      <c r="Y275" s="336"/>
      <c r="Z275" s="340"/>
      <c r="AA275" s="543"/>
      <c r="AB275" s="543"/>
      <c r="AC275" s="543"/>
      <c r="AD275" s="543"/>
      <c r="AE275" s="543"/>
      <c r="AF275" s="543"/>
      <c r="AG275" s="543"/>
      <c r="AH275" s="543"/>
      <c r="AI275" s="543"/>
      <c r="AJ275" s="543"/>
      <c r="AK275" s="543"/>
      <c r="AL275" s="543"/>
      <c r="AM275" s="543"/>
      <c r="AN275" s="543"/>
      <c r="AO275" s="543"/>
      <c r="AP275" s="543"/>
      <c r="AQ275" s="543"/>
      <c r="AR275" s="543"/>
      <c r="AS275" s="543"/>
      <c r="AT275" s="543"/>
      <c r="AU275" s="543"/>
    </row>
    <row r="276" spans="2:47" s="536" customFormat="1" x14ac:dyDescent="0.45">
      <c r="B276" s="528"/>
      <c r="C276" s="528"/>
      <c r="D276" s="528"/>
      <c r="G276" s="537"/>
      <c r="H276" s="356"/>
      <c r="I276" s="544"/>
      <c r="K276" s="337"/>
      <c r="L276" s="337"/>
      <c r="M276" s="545"/>
      <c r="N276" s="545"/>
      <c r="O276" s="546"/>
      <c r="Y276" s="336"/>
      <c r="Z276" s="340"/>
      <c r="AA276" s="543"/>
      <c r="AB276" s="543"/>
      <c r="AC276" s="543"/>
      <c r="AD276" s="543"/>
      <c r="AE276" s="543"/>
      <c r="AF276" s="543"/>
      <c r="AG276" s="543"/>
      <c r="AH276" s="543"/>
      <c r="AI276" s="543"/>
      <c r="AJ276" s="543"/>
      <c r="AK276" s="543"/>
      <c r="AL276" s="543"/>
      <c r="AM276" s="543"/>
      <c r="AN276" s="543"/>
      <c r="AO276" s="543"/>
      <c r="AP276" s="543"/>
      <c r="AQ276" s="543"/>
      <c r="AR276" s="543"/>
      <c r="AS276" s="543"/>
      <c r="AT276" s="543"/>
      <c r="AU276" s="543"/>
    </row>
    <row r="277" spans="2:47" s="536" customFormat="1" x14ac:dyDescent="0.45">
      <c r="B277" s="528"/>
      <c r="C277" s="528"/>
      <c r="D277" s="528"/>
      <c r="G277" s="537"/>
      <c r="H277" s="356"/>
      <c r="I277" s="544"/>
      <c r="K277" s="337"/>
      <c r="L277" s="337"/>
      <c r="M277" s="545"/>
      <c r="N277" s="545"/>
      <c r="O277" s="546"/>
      <c r="Y277" s="336"/>
      <c r="Z277" s="340"/>
      <c r="AA277" s="543"/>
      <c r="AB277" s="543"/>
      <c r="AC277" s="543"/>
      <c r="AD277" s="543"/>
      <c r="AE277" s="543"/>
      <c r="AF277" s="543"/>
      <c r="AG277" s="543"/>
      <c r="AH277" s="543"/>
      <c r="AI277" s="543"/>
      <c r="AJ277" s="543"/>
      <c r="AK277" s="543"/>
      <c r="AL277" s="543"/>
      <c r="AM277" s="543"/>
      <c r="AN277" s="543"/>
      <c r="AO277" s="543"/>
      <c r="AP277" s="543"/>
      <c r="AQ277" s="543"/>
      <c r="AR277" s="543"/>
      <c r="AS277" s="543"/>
      <c r="AT277" s="543"/>
      <c r="AU277" s="543"/>
    </row>
    <row r="278" spans="2:47" s="536" customFormat="1" x14ac:dyDescent="0.45">
      <c r="B278" s="528"/>
      <c r="C278" s="528"/>
      <c r="D278" s="528"/>
      <c r="G278" s="537"/>
      <c r="H278" s="356"/>
      <c r="I278" s="544"/>
      <c r="K278" s="337"/>
      <c r="L278" s="337"/>
      <c r="M278" s="545"/>
      <c r="N278" s="545"/>
      <c r="O278" s="546"/>
      <c r="Y278" s="336"/>
      <c r="Z278" s="340"/>
      <c r="AA278" s="543"/>
      <c r="AB278" s="543"/>
      <c r="AC278" s="543"/>
      <c r="AD278" s="543"/>
      <c r="AE278" s="543"/>
      <c r="AF278" s="543"/>
      <c r="AG278" s="543"/>
      <c r="AH278" s="543"/>
      <c r="AI278" s="543"/>
      <c r="AJ278" s="543"/>
      <c r="AK278" s="543"/>
      <c r="AL278" s="543"/>
      <c r="AM278" s="543"/>
      <c r="AN278" s="543"/>
      <c r="AO278" s="543"/>
      <c r="AP278" s="543"/>
      <c r="AQ278" s="543"/>
      <c r="AR278" s="543"/>
      <c r="AS278" s="543"/>
      <c r="AT278" s="543"/>
      <c r="AU278" s="543"/>
    </row>
    <row r="279" spans="2:47" s="536" customFormat="1" x14ac:dyDescent="0.45">
      <c r="B279" s="528"/>
      <c r="C279" s="528"/>
      <c r="D279" s="528"/>
      <c r="G279" s="537"/>
      <c r="H279" s="356"/>
      <c r="I279" s="544"/>
      <c r="K279" s="337"/>
      <c r="L279" s="337"/>
      <c r="M279" s="545"/>
      <c r="N279" s="545"/>
      <c r="O279" s="546"/>
      <c r="Y279" s="336"/>
      <c r="Z279" s="340"/>
      <c r="AA279" s="543"/>
      <c r="AB279" s="543"/>
      <c r="AC279" s="543"/>
      <c r="AD279" s="543"/>
      <c r="AE279" s="543"/>
      <c r="AF279" s="543"/>
      <c r="AG279" s="543"/>
      <c r="AH279" s="543"/>
      <c r="AI279" s="543"/>
      <c r="AJ279" s="543"/>
      <c r="AK279" s="543"/>
      <c r="AL279" s="543"/>
      <c r="AM279" s="543"/>
      <c r="AN279" s="543"/>
      <c r="AO279" s="543"/>
      <c r="AP279" s="543"/>
      <c r="AQ279" s="543"/>
      <c r="AR279" s="543"/>
      <c r="AS279" s="543"/>
      <c r="AT279" s="543"/>
      <c r="AU279" s="543"/>
    </row>
    <row r="280" spans="2:47" s="536" customFormat="1" x14ac:dyDescent="0.45">
      <c r="B280" s="528"/>
      <c r="C280" s="528"/>
      <c r="D280" s="528"/>
      <c r="G280" s="537"/>
      <c r="H280" s="356"/>
      <c r="I280" s="544"/>
      <c r="K280" s="337"/>
      <c r="L280" s="337"/>
      <c r="M280" s="545"/>
      <c r="N280" s="545"/>
      <c r="O280" s="546"/>
      <c r="Y280" s="336"/>
      <c r="Z280" s="340"/>
      <c r="AA280" s="543"/>
      <c r="AB280" s="543"/>
      <c r="AC280" s="543"/>
      <c r="AD280" s="543"/>
      <c r="AE280" s="543"/>
      <c r="AF280" s="543"/>
      <c r="AG280" s="543"/>
      <c r="AH280" s="543"/>
      <c r="AI280" s="543"/>
      <c r="AJ280" s="543"/>
      <c r="AK280" s="543"/>
      <c r="AL280" s="543"/>
      <c r="AM280" s="543"/>
      <c r="AN280" s="543"/>
      <c r="AO280" s="543"/>
      <c r="AP280" s="543"/>
      <c r="AQ280" s="543"/>
      <c r="AR280" s="543"/>
      <c r="AS280" s="543"/>
      <c r="AT280" s="543"/>
      <c r="AU280" s="543"/>
    </row>
    <row r="281" spans="2:47" s="536" customFormat="1" x14ac:dyDescent="0.45">
      <c r="B281" s="528"/>
      <c r="C281" s="528"/>
      <c r="D281" s="528"/>
      <c r="G281" s="537"/>
      <c r="H281" s="356"/>
      <c r="I281" s="544"/>
      <c r="K281" s="337"/>
      <c r="L281" s="337"/>
      <c r="M281" s="545"/>
      <c r="N281" s="545"/>
      <c r="O281" s="546"/>
      <c r="Y281" s="336"/>
      <c r="Z281" s="340"/>
      <c r="AA281" s="543"/>
      <c r="AB281" s="543"/>
      <c r="AC281" s="543"/>
      <c r="AD281" s="543"/>
      <c r="AE281" s="543"/>
      <c r="AF281" s="543"/>
      <c r="AG281" s="543"/>
      <c r="AH281" s="543"/>
      <c r="AI281" s="543"/>
      <c r="AJ281" s="543"/>
      <c r="AK281" s="543"/>
      <c r="AL281" s="543"/>
      <c r="AM281" s="543"/>
      <c r="AN281" s="543"/>
      <c r="AO281" s="543"/>
      <c r="AP281" s="543"/>
      <c r="AQ281" s="543"/>
      <c r="AR281" s="543"/>
      <c r="AS281" s="543"/>
      <c r="AT281" s="543"/>
      <c r="AU281" s="543"/>
    </row>
    <row r="282" spans="2:47" s="536" customFormat="1" x14ac:dyDescent="0.45">
      <c r="B282" s="528"/>
      <c r="C282" s="528"/>
      <c r="D282" s="528"/>
      <c r="G282" s="537"/>
      <c r="H282" s="356"/>
      <c r="I282" s="544"/>
      <c r="K282" s="337"/>
      <c r="L282" s="337"/>
      <c r="M282" s="545"/>
      <c r="N282" s="545"/>
      <c r="O282" s="546"/>
      <c r="Y282" s="336"/>
      <c r="Z282" s="340"/>
      <c r="AA282" s="543"/>
      <c r="AB282" s="543"/>
      <c r="AC282" s="543"/>
      <c r="AD282" s="543"/>
      <c r="AE282" s="543"/>
      <c r="AF282" s="543"/>
      <c r="AG282" s="543"/>
      <c r="AH282" s="543"/>
      <c r="AI282" s="543"/>
      <c r="AJ282" s="543"/>
      <c r="AK282" s="543"/>
      <c r="AL282" s="543"/>
      <c r="AM282" s="543"/>
      <c r="AN282" s="543"/>
      <c r="AO282" s="543"/>
      <c r="AP282" s="543"/>
      <c r="AQ282" s="543"/>
      <c r="AR282" s="543"/>
      <c r="AS282" s="543"/>
      <c r="AT282" s="543"/>
      <c r="AU282" s="543"/>
    </row>
    <row r="283" spans="2:47" s="536" customFormat="1" x14ac:dyDescent="0.45">
      <c r="B283" s="528"/>
      <c r="C283" s="528"/>
      <c r="D283" s="528"/>
      <c r="G283" s="537"/>
      <c r="H283" s="356"/>
      <c r="I283" s="544"/>
      <c r="K283" s="337"/>
      <c r="L283" s="337"/>
      <c r="M283" s="545"/>
      <c r="N283" s="545"/>
      <c r="O283" s="546"/>
      <c r="Y283" s="336"/>
      <c r="Z283" s="340"/>
      <c r="AA283" s="543"/>
      <c r="AB283" s="543"/>
      <c r="AC283" s="543"/>
      <c r="AD283" s="543"/>
      <c r="AE283" s="543"/>
      <c r="AF283" s="543"/>
      <c r="AG283" s="543"/>
      <c r="AH283" s="543"/>
      <c r="AI283" s="543"/>
      <c r="AJ283" s="543"/>
      <c r="AK283" s="543"/>
      <c r="AL283" s="543"/>
      <c r="AM283" s="543"/>
      <c r="AN283" s="543"/>
      <c r="AO283" s="543"/>
      <c r="AP283" s="543"/>
      <c r="AQ283" s="543"/>
      <c r="AR283" s="543"/>
      <c r="AS283" s="543"/>
      <c r="AT283" s="543"/>
      <c r="AU283" s="543"/>
    </row>
    <row r="284" spans="2:47" s="548" customFormat="1" x14ac:dyDescent="0.45">
      <c r="B284" s="549"/>
      <c r="C284" s="549"/>
      <c r="D284" s="549"/>
      <c r="G284" s="550"/>
      <c r="H284" s="551"/>
      <c r="I284" s="552"/>
      <c r="K284" s="553"/>
      <c r="L284" s="553"/>
      <c r="M284" s="554"/>
      <c r="N284" s="554"/>
      <c r="O284" s="555"/>
      <c r="Y284" s="336"/>
      <c r="Z284" s="340"/>
      <c r="AA284" s="556"/>
      <c r="AB284" s="556"/>
      <c r="AC284" s="556"/>
      <c r="AD284" s="556"/>
      <c r="AE284" s="556"/>
      <c r="AF284" s="556"/>
      <c r="AG284" s="556"/>
      <c r="AH284" s="556"/>
      <c r="AI284" s="556"/>
      <c r="AJ284" s="556"/>
      <c r="AK284" s="556"/>
      <c r="AL284" s="556"/>
      <c r="AM284" s="556"/>
      <c r="AN284" s="556"/>
      <c r="AO284" s="556"/>
      <c r="AP284" s="556"/>
      <c r="AQ284" s="556"/>
      <c r="AR284" s="556"/>
      <c r="AS284" s="556"/>
      <c r="AT284" s="556"/>
      <c r="AU284" s="556"/>
    </row>
    <row r="285" spans="2:47" s="548" customFormat="1" x14ac:dyDescent="0.45">
      <c r="B285" s="549"/>
      <c r="C285" s="549"/>
      <c r="D285" s="549"/>
      <c r="G285" s="550"/>
      <c r="H285" s="551"/>
      <c r="I285" s="552"/>
      <c r="K285" s="553"/>
      <c r="L285" s="553"/>
      <c r="M285" s="554"/>
      <c r="N285" s="554"/>
      <c r="O285" s="555"/>
      <c r="Y285" s="336"/>
      <c r="Z285" s="340"/>
      <c r="AA285" s="556"/>
      <c r="AB285" s="556"/>
      <c r="AC285" s="556"/>
      <c r="AD285" s="556"/>
      <c r="AE285" s="556"/>
      <c r="AF285" s="556"/>
      <c r="AG285" s="556"/>
      <c r="AH285" s="556"/>
      <c r="AI285" s="556"/>
      <c r="AJ285" s="556"/>
      <c r="AK285" s="556"/>
      <c r="AL285" s="556"/>
      <c r="AM285" s="556"/>
      <c r="AN285" s="556"/>
      <c r="AO285" s="556"/>
      <c r="AP285" s="556"/>
      <c r="AQ285" s="556"/>
      <c r="AR285" s="556"/>
      <c r="AS285" s="556"/>
      <c r="AT285" s="556"/>
      <c r="AU285" s="556"/>
    </row>
    <row r="286" spans="2:47" s="548" customFormat="1" x14ac:dyDescent="0.45">
      <c r="B286" s="549"/>
      <c r="C286" s="549"/>
      <c r="D286" s="549"/>
      <c r="G286" s="550"/>
      <c r="H286" s="551"/>
      <c r="I286" s="552"/>
      <c r="K286" s="553"/>
      <c r="L286" s="553"/>
      <c r="M286" s="554"/>
      <c r="N286" s="554"/>
      <c r="O286" s="555"/>
      <c r="Y286" s="336"/>
      <c r="Z286" s="340"/>
      <c r="AA286" s="556"/>
      <c r="AB286" s="556"/>
      <c r="AC286" s="556"/>
      <c r="AD286" s="556"/>
      <c r="AE286" s="556"/>
      <c r="AF286" s="556"/>
      <c r="AG286" s="556"/>
      <c r="AH286" s="556"/>
      <c r="AI286" s="556"/>
      <c r="AJ286" s="556"/>
      <c r="AK286" s="556"/>
      <c r="AL286" s="556"/>
      <c r="AM286" s="556"/>
      <c r="AN286" s="556"/>
      <c r="AO286" s="556"/>
      <c r="AP286" s="556"/>
      <c r="AQ286" s="556"/>
      <c r="AR286" s="556"/>
      <c r="AS286" s="556"/>
      <c r="AT286" s="556"/>
      <c r="AU286" s="556"/>
    </row>
    <row r="287" spans="2:47" s="548" customFormat="1" x14ac:dyDescent="0.45">
      <c r="B287" s="549"/>
      <c r="C287" s="549"/>
      <c r="D287" s="549"/>
      <c r="G287" s="550"/>
      <c r="H287" s="551"/>
      <c r="I287" s="552"/>
      <c r="K287" s="553"/>
      <c r="L287" s="553"/>
      <c r="M287" s="554"/>
      <c r="N287" s="554"/>
      <c r="O287" s="555"/>
      <c r="Y287" s="336"/>
      <c r="Z287" s="340"/>
      <c r="AA287" s="556"/>
      <c r="AB287" s="556"/>
      <c r="AC287" s="556"/>
      <c r="AD287" s="556"/>
      <c r="AE287" s="556"/>
      <c r="AF287" s="556"/>
      <c r="AG287" s="556"/>
      <c r="AH287" s="556"/>
      <c r="AI287" s="556"/>
      <c r="AJ287" s="556"/>
      <c r="AK287" s="556"/>
      <c r="AL287" s="556"/>
      <c r="AM287" s="556"/>
      <c r="AN287" s="556"/>
      <c r="AO287" s="556"/>
      <c r="AP287" s="556"/>
      <c r="AQ287" s="556"/>
      <c r="AR287" s="556"/>
      <c r="AS287" s="556"/>
      <c r="AT287" s="556"/>
      <c r="AU287" s="556"/>
    </row>
    <row r="288" spans="2:47" s="548" customFormat="1" x14ac:dyDescent="0.45">
      <c r="B288" s="549"/>
      <c r="C288" s="549"/>
      <c r="D288" s="549"/>
      <c r="G288" s="550"/>
      <c r="H288" s="551"/>
      <c r="I288" s="552"/>
      <c r="K288" s="553"/>
      <c r="L288" s="553"/>
      <c r="M288" s="554"/>
      <c r="N288" s="554"/>
      <c r="O288" s="555"/>
      <c r="Y288" s="336"/>
      <c r="Z288" s="340"/>
      <c r="AA288" s="556"/>
      <c r="AB288" s="556"/>
      <c r="AC288" s="556"/>
      <c r="AD288" s="556"/>
      <c r="AE288" s="556"/>
      <c r="AF288" s="556"/>
      <c r="AG288" s="556"/>
      <c r="AH288" s="556"/>
      <c r="AI288" s="556"/>
      <c r="AJ288" s="556"/>
      <c r="AK288" s="556"/>
      <c r="AL288" s="556"/>
      <c r="AM288" s="556"/>
      <c r="AN288" s="556"/>
      <c r="AO288" s="556"/>
      <c r="AP288" s="556"/>
      <c r="AQ288" s="556"/>
      <c r="AR288" s="556"/>
      <c r="AS288" s="556"/>
      <c r="AT288" s="556"/>
      <c r="AU288" s="556"/>
    </row>
    <row r="289" spans="2:47" s="548" customFormat="1" x14ac:dyDescent="0.45">
      <c r="B289" s="549"/>
      <c r="C289" s="549"/>
      <c r="D289" s="549"/>
      <c r="G289" s="550"/>
      <c r="H289" s="551"/>
      <c r="I289" s="552"/>
      <c r="K289" s="553"/>
      <c r="L289" s="553"/>
      <c r="M289" s="554"/>
      <c r="N289" s="554"/>
      <c r="O289" s="555"/>
      <c r="Y289" s="336"/>
      <c r="Z289" s="340"/>
      <c r="AA289" s="556"/>
      <c r="AB289" s="556"/>
      <c r="AC289" s="556"/>
      <c r="AD289" s="556"/>
      <c r="AE289" s="556"/>
      <c r="AF289" s="556"/>
      <c r="AG289" s="556"/>
      <c r="AH289" s="556"/>
      <c r="AI289" s="556"/>
      <c r="AJ289" s="556"/>
      <c r="AK289" s="556"/>
      <c r="AL289" s="556"/>
      <c r="AM289" s="556"/>
      <c r="AN289" s="556"/>
      <c r="AO289" s="556"/>
      <c r="AP289" s="556"/>
      <c r="AQ289" s="556"/>
      <c r="AR289" s="556"/>
      <c r="AS289" s="556"/>
      <c r="AT289" s="556"/>
      <c r="AU289" s="556"/>
    </row>
    <row r="290" spans="2:47" s="548" customFormat="1" x14ac:dyDescent="0.45">
      <c r="B290" s="549"/>
      <c r="C290" s="549"/>
      <c r="D290" s="549"/>
      <c r="G290" s="550"/>
      <c r="H290" s="551"/>
      <c r="I290" s="552"/>
      <c r="K290" s="553"/>
      <c r="L290" s="553"/>
      <c r="M290" s="554"/>
      <c r="N290" s="554"/>
      <c r="O290" s="555"/>
      <c r="Y290" s="336"/>
      <c r="Z290" s="340"/>
      <c r="AA290" s="556"/>
      <c r="AB290" s="556"/>
      <c r="AC290" s="556"/>
      <c r="AD290" s="556"/>
      <c r="AE290" s="556"/>
      <c r="AF290" s="556"/>
      <c r="AG290" s="556"/>
      <c r="AH290" s="556"/>
      <c r="AI290" s="556"/>
      <c r="AJ290" s="556"/>
      <c r="AK290" s="556"/>
      <c r="AL290" s="556"/>
      <c r="AM290" s="556"/>
      <c r="AN290" s="556"/>
      <c r="AO290" s="556"/>
      <c r="AP290" s="556"/>
      <c r="AQ290" s="556"/>
      <c r="AR290" s="556"/>
      <c r="AS290" s="556"/>
      <c r="AT290" s="556"/>
      <c r="AU290" s="556"/>
    </row>
    <row r="291" spans="2:47" s="548" customFormat="1" x14ac:dyDescent="0.45">
      <c r="B291" s="549"/>
      <c r="C291" s="549"/>
      <c r="D291" s="549"/>
      <c r="G291" s="550"/>
      <c r="H291" s="551"/>
      <c r="I291" s="552"/>
      <c r="K291" s="553"/>
      <c r="L291" s="553"/>
      <c r="M291" s="554"/>
      <c r="N291" s="554"/>
      <c r="O291" s="555"/>
      <c r="Y291" s="336"/>
      <c r="Z291" s="340"/>
      <c r="AA291" s="556"/>
      <c r="AB291" s="556"/>
      <c r="AC291" s="556"/>
      <c r="AD291" s="556"/>
      <c r="AE291" s="556"/>
      <c r="AF291" s="556"/>
      <c r="AG291" s="556"/>
      <c r="AH291" s="556"/>
      <c r="AI291" s="556"/>
      <c r="AJ291" s="556"/>
      <c r="AK291" s="556"/>
      <c r="AL291" s="556"/>
      <c r="AM291" s="556"/>
      <c r="AN291" s="556"/>
      <c r="AO291" s="556"/>
      <c r="AP291" s="556"/>
      <c r="AQ291" s="556"/>
      <c r="AR291" s="556"/>
      <c r="AS291" s="556"/>
      <c r="AT291" s="556"/>
      <c r="AU291" s="556"/>
    </row>
    <row r="292" spans="2:47" s="548" customFormat="1" x14ac:dyDescent="0.45">
      <c r="B292" s="549"/>
      <c r="C292" s="549"/>
      <c r="D292" s="549"/>
      <c r="G292" s="550"/>
      <c r="H292" s="551"/>
      <c r="I292" s="552"/>
      <c r="K292" s="553"/>
      <c r="L292" s="553"/>
      <c r="M292" s="554"/>
      <c r="N292" s="554"/>
      <c r="O292" s="555"/>
      <c r="Y292" s="336"/>
      <c r="Z292" s="340"/>
      <c r="AA292" s="556"/>
      <c r="AB292" s="556"/>
      <c r="AC292" s="556"/>
      <c r="AD292" s="556"/>
      <c r="AE292" s="556"/>
      <c r="AF292" s="556"/>
      <c r="AG292" s="556"/>
      <c r="AH292" s="556"/>
      <c r="AI292" s="556"/>
      <c r="AJ292" s="556"/>
      <c r="AK292" s="556"/>
      <c r="AL292" s="556"/>
      <c r="AM292" s="556"/>
      <c r="AN292" s="556"/>
      <c r="AO292" s="556"/>
      <c r="AP292" s="556"/>
      <c r="AQ292" s="556"/>
      <c r="AR292" s="556"/>
      <c r="AS292" s="556"/>
      <c r="AT292" s="556"/>
      <c r="AU292" s="556"/>
    </row>
    <row r="293" spans="2:47" s="548" customFormat="1" x14ac:dyDescent="0.45">
      <c r="B293" s="549"/>
      <c r="C293" s="549"/>
      <c r="D293" s="549"/>
      <c r="G293" s="550"/>
      <c r="H293" s="551"/>
      <c r="I293" s="552"/>
      <c r="K293" s="553"/>
      <c r="L293" s="553"/>
      <c r="M293" s="554"/>
      <c r="N293" s="554"/>
      <c r="O293" s="555"/>
      <c r="Y293" s="336"/>
      <c r="Z293" s="340"/>
      <c r="AA293" s="556"/>
      <c r="AB293" s="556"/>
      <c r="AC293" s="556"/>
      <c r="AD293" s="556"/>
      <c r="AE293" s="556"/>
      <c r="AF293" s="556"/>
      <c r="AG293" s="556"/>
      <c r="AH293" s="556"/>
      <c r="AI293" s="556"/>
      <c r="AJ293" s="556"/>
      <c r="AK293" s="556"/>
      <c r="AL293" s="556"/>
      <c r="AM293" s="556"/>
      <c r="AN293" s="556"/>
      <c r="AO293" s="556"/>
      <c r="AP293" s="556"/>
      <c r="AQ293" s="556"/>
      <c r="AR293" s="556"/>
      <c r="AS293" s="556"/>
      <c r="AT293" s="556"/>
      <c r="AU293" s="556"/>
    </row>
    <row r="294" spans="2:47" s="548" customFormat="1" x14ac:dyDescent="0.45">
      <c r="B294" s="549"/>
      <c r="C294" s="549"/>
      <c r="D294" s="549"/>
      <c r="G294" s="550"/>
      <c r="H294" s="551"/>
      <c r="I294" s="552"/>
      <c r="K294" s="553"/>
      <c r="L294" s="553"/>
      <c r="M294" s="554"/>
      <c r="N294" s="554"/>
      <c r="O294" s="555"/>
      <c r="Y294" s="336"/>
      <c r="Z294" s="340"/>
      <c r="AA294" s="556"/>
      <c r="AB294" s="556"/>
      <c r="AC294" s="556"/>
      <c r="AD294" s="556"/>
      <c r="AE294" s="556"/>
      <c r="AF294" s="556"/>
      <c r="AG294" s="556"/>
      <c r="AH294" s="556"/>
      <c r="AI294" s="556"/>
      <c r="AJ294" s="556"/>
      <c r="AK294" s="556"/>
      <c r="AL294" s="556"/>
      <c r="AM294" s="556"/>
      <c r="AN294" s="556"/>
      <c r="AO294" s="556"/>
      <c r="AP294" s="556"/>
      <c r="AQ294" s="556"/>
      <c r="AR294" s="556"/>
      <c r="AS294" s="556"/>
      <c r="AT294" s="556"/>
      <c r="AU294" s="556"/>
    </row>
    <row r="295" spans="2:47" s="548" customFormat="1" x14ac:dyDescent="0.45">
      <c r="B295" s="549"/>
      <c r="C295" s="549"/>
      <c r="D295" s="549"/>
      <c r="G295" s="550"/>
      <c r="H295" s="551"/>
      <c r="I295" s="552"/>
      <c r="K295" s="553"/>
      <c r="L295" s="553"/>
      <c r="M295" s="554"/>
      <c r="N295" s="554"/>
      <c r="O295" s="555"/>
      <c r="Y295" s="336"/>
      <c r="Z295" s="340"/>
      <c r="AA295" s="556"/>
      <c r="AB295" s="556"/>
      <c r="AC295" s="556"/>
      <c r="AD295" s="556"/>
      <c r="AE295" s="556"/>
      <c r="AF295" s="556"/>
      <c r="AG295" s="556"/>
      <c r="AH295" s="556"/>
      <c r="AI295" s="556"/>
      <c r="AJ295" s="556"/>
      <c r="AK295" s="556"/>
      <c r="AL295" s="556"/>
      <c r="AM295" s="556"/>
      <c r="AN295" s="556"/>
      <c r="AO295" s="556"/>
      <c r="AP295" s="556"/>
      <c r="AQ295" s="556"/>
      <c r="AR295" s="556"/>
      <c r="AS295" s="556"/>
      <c r="AT295" s="556"/>
      <c r="AU295" s="556"/>
    </row>
    <row r="296" spans="2:47" s="548" customFormat="1" x14ac:dyDescent="0.45">
      <c r="B296" s="549"/>
      <c r="C296" s="549"/>
      <c r="D296" s="549"/>
      <c r="G296" s="550"/>
      <c r="H296" s="551"/>
      <c r="I296" s="552"/>
      <c r="K296" s="553"/>
      <c r="L296" s="553"/>
      <c r="M296" s="554"/>
      <c r="N296" s="554"/>
      <c r="O296" s="555"/>
      <c r="Y296" s="336"/>
      <c r="Z296" s="340"/>
      <c r="AA296" s="556"/>
      <c r="AB296" s="556"/>
      <c r="AC296" s="556"/>
      <c r="AD296" s="556"/>
      <c r="AE296" s="556"/>
      <c r="AF296" s="556"/>
      <c r="AG296" s="556"/>
      <c r="AH296" s="556"/>
      <c r="AI296" s="556"/>
      <c r="AJ296" s="556"/>
      <c r="AK296" s="556"/>
      <c r="AL296" s="556"/>
      <c r="AM296" s="556"/>
      <c r="AN296" s="556"/>
      <c r="AO296" s="556"/>
      <c r="AP296" s="556"/>
      <c r="AQ296" s="556"/>
      <c r="AR296" s="556"/>
      <c r="AS296" s="556"/>
      <c r="AT296" s="556"/>
      <c r="AU296" s="556"/>
    </row>
    <row r="297" spans="2:47" s="548" customFormat="1" x14ac:dyDescent="0.45">
      <c r="B297" s="549"/>
      <c r="C297" s="549"/>
      <c r="D297" s="549"/>
      <c r="G297" s="550"/>
      <c r="H297" s="551"/>
      <c r="I297" s="552"/>
      <c r="K297" s="553"/>
      <c r="L297" s="553"/>
      <c r="M297" s="554"/>
      <c r="N297" s="554"/>
      <c r="O297" s="555"/>
      <c r="Y297" s="336"/>
      <c r="Z297" s="340"/>
      <c r="AA297" s="556"/>
      <c r="AB297" s="556"/>
      <c r="AC297" s="556"/>
      <c r="AD297" s="556"/>
      <c r="AE297" s="556"/>
      <c r="AF297" s="556"/>
      <c r="AG297" s="556"/>
      <c r="AH297" s="556"/>
      <c r="AI297" s="556"/>
      <c r="AJ297" s="556"/>
      <c r="AK297" s="556"/>
      <c r="AL297" s="556"/>
      <c r="AM297" s="556"/>
      <c r="AN297" s="556"/>
      <c r="AO297" s="556"/>
      <c r="AP297" s="556"/>
      <c r="AQ297" s="556"/>
      <c r="AR297" s="556"/>
      <c r="AS297" s="556"/>
      <c r="AT297" s="556"/>
      <c r="AU297" s="556"/>
    </row>
    <row r="298" spans="2:47" s="548" customFormat="1" x14ac:dyDescent="0.45">
      <c r="B298" s="549"/>
      <c r="C298" s="549"/>
      <c r="D298" s="549"/>
      <c r="G298" s="550"/>
      <c r="H298" s="551"/>
      <c r="I298" s="552"/>
      <c r="K298" s="553"/>
      <c r="L298" s="553"/>
      <c r="M298" s="554"/>
      <c r="N298" s="554"/>
      <c r="O298" s="555"/>
      <c r="Y298" s="336"/>
      <c r="Z298" s="340"/>
      <c r="AA298" s="556"/>
      <c r="AB298" s="556"/>
      <c r="AC298" s="556"/>
      <c r="AD298" s="556"/>
      <c r="AE298" s="556"/>
      <c r="AF298" s="556"/>
      <c r="AG298" s="556"/>
      <c r="AH298" s="556"/>
      <c r="AI298" s="556"/>
      <c r="AJ298" s="556"/>
      <c r="AK298" s="556"/>
      <c r="AL298" s="556"/>
      <c r="AM298" s="556"/>
      <c r="AN298" s="556"/>
      <c r="AO298" s="556"/>
      <c r="AP298" s="556"/>
      <c r="AQ298" s="556"/>
      <c r="AR298" s="556"/>
      <c r="AS298" s="556"/>
      <c r="AT298" s="556"/>
      <c r="AU298" s="556"/>
    </row>
    <row r="299" spans="2:47" s="548" customFormat="1" x14ac:dyDescent="0.45">
      <c r="B299" s="549"/>
      <c r="C299" s="549"/>
      <c r="D299" s="549"/>
      <c r="G299" s="550"/>
      <c r="H299" s="551"/>
      <c r="I299" s="552"/>
      <c r="K299" s="553"/>
      <c r="L299" s="553"/>
      <c r="M299" s="554"/>
      <c r="N299" s="554"/>
      <c r="O299" s="555"/>
      <c r="Y299" s="336"/>
      <c r="Z299" s="340"/>
      <c r="AA299" s="556"/>
      <c r="AB299" s="556"/>
      <c r="AC299" s="556"/>
      <c r="AD299" s="556"/>
      <c r="AE299" s="556"/>
      <c r="AF299" s="556"/>
      <c r="AG299" s="556"/>
      <c r="AH299" s="556"/>
      <c r="AI299" s="556"/>
      <c r="AJ299" s="556"/>
      <c r="AK299" s="556"/>
      <c r="AL299" s="556"/>
      <c r="AM299" s="556"/>
      <c r="AN299" s="556"/>
      <c r="AO299" s="556"/>
      <c r="AP299" s="556"/>
      <c r="AQ299" s="556"/>
      <c r="AR299" s="556"/>
      <c r="AS299" s="556"/>
      <c r="AT299" s="556"/>
      <c r="AU299" s="556"/>
    </row>
    <row r="300" spans="2:47" s="548" customFormat="1" x14ac:dyDescent="0.45">
      <c r="B300" s="549"/>
      <c r="C300" s="549"/>
      <c r="D300" s="549"/>
      <c r="G300" s="550"/>
      <c r="H300" s="551"/>
      <c r="I300" s="552"/>
      <c r="K300" s="553"/>
      <c r="L300" s="553"/>
      <c r="M300" s="554"/>
      <c r="N300" s="554"/>
      <c r="O300" s="555"/>
      <c r="Y300" s="336"/>
      <c r="Z300" s="340"/>
      <c r="AA300" s="556"/>
      <c r="AB300" s="556"/>
      <c r="AC300" s="556"/>
      <c r="AD300" s="556"/>
      <c r="AE300" s="556"/>
      <c r="AF300" s="556"/>
      <c r="AG300" s="556"/>
      <c r="AH300" s="556"/>
      <c r="AI300" s="556"/>
      <c r="AJ300" s="556"/>
      <c r="AK300" s="556"/>
      <c r="AL300" s="556"/>
      <c r="AM300" s="556"/>
      <c r="AN300" s="556"/>
      <c r="AO300" s="556"/>
      <c r="AP300" s="556"/>
      <c r="AQ300" s="556"/>
      <c r="AR300" s="556"/>
      <c r="AS300" s="556"/>
      <c r="AT300" s="556"/>
      <c r="AU300" s="556"/>
    </row>
    <row r="301" spans="2:47" s="548" customFormat="1" x14ac:dyDescent="0.45">
      <c r="B301" s="549"/>
      <c r="C301" s="549"/>
      <c r="D301" s="549"/>
      <c r="G301" s="550"/>
      <c r="H301" s="551"/>
      <c r="I301" s="552"/>
      <c r="K301" s="553"/>
      <c r="L301" s="553"/>
      <c r="M301" s="554"/>
      <c r="N301" s="554"/>
      <c r="O301" s="555"/>
      <c r="Y301" s="336"/>
      <c r="Z301" s="340"/>
      <c r="AA301" s="556"/>
      <c r="AB301" s="556"/>
      <c r="AC301" s="556"/>
      <c r="AD301" s="556"/>
      <c r="AE301" s="556"/>
      <c r="AF301" s="556"/>
      <c r="AG301" s="556"/>
      <c r="AH301" s="556"/>
      <c r="AI301" s="556"/>
      <c r="AJ301" s="556"/>
      <c r="AK301" s="556"/>
      <c r="AL301" s="556"/>
      <c r="AM301" s="556"/>
      <c r="AN301" s="556"/>
      <c r="AO301" s="556"/>
      <c r="AP301" s="556"/>
      <c r="AQ301" s="556"/>
      <c r="AR301" s="556"/>
      <c r="AS301" s="556"/>
      <c r="AT301" s="556"/>
      <c r="AU301" s="556"/>
    </row>
    <row r="302" spans="2:47" s="548" customFormat="1" x14ac:dyDescent="0.45">
      <c r="B302" s="549"/>
      <c r="C302" s="549"/>
      <c r="D302" s="549"/>
      <c r="G302" s="550"/>
      <c r="H302" s="551"/>
      <c r="I302" s="552"/>
      <c r="K302" s="553"/>
      <c r="L302" s="553"/>
      <c r="M302" s="554"/>
      <c r="N302" s="554"/>
      <c r="O302" s="555"/>
      <c r="Y302" s="336"/>
      <c r="Z302" s="340"/>
      <c r="AA302" s="556"/>
      <c r="AB302" s="556"/>
      <c r="AC302" s="556"/>
      <c r="AD302" s="556"/>
      <c r="AE302" s="556"/>
      <c r="AF302" s="556"/>
      <c r="AG302" s="556"/>
      <c r="AH302" s="556"/>
      <c r="AI302" s="556"/>
      <c r="AJ302" s="556"/>
      <c r="AK302" s="556"/>
      <c r="AL302" s="556"/>
      <c r="AM302" s="556"/>
      <c r="AN302" s="556"/>
      <c r="AO302" s="556"/>
      <c r="AP302" s="556"/>
      <c r="AQ302" s="556"/>
      <c r="AR302" s="556"/>
      <c r="AS302" s="556"/>
      <c r="AT302" s="556"/>
      <c r="AU302" s="556"/>
    </row>
    <row r="303" spans="2:47" s="548" customFormat="1" x14ac:dyDescent="0.45">
      <c r="B303" s="549"/>
      <c r="C303" s="549"/>
      <c r="D303" s="549"/>
      <c r="G303" s="550"/>
      <c r="H303" s="551"/>
      <c r="I303" s="552"/>
      <c r="K303" s="553"/>
      <c r="L303" s="553"/>
      <c r="M303" s="554"/>
      <c r="N303" s="554"/>
      <c r="O303" s="555"/>
      <c r="Y303" s="336"/>
      <c r="Z303" s="340"/>
      <c r="AA303" s="556"/>
      <c r="AB303" s="556"/>
      <c r="AC303" s="556"/>
      <c r="AD303" s="556"/>
      <c r="AE303" s="556"/>
      <c r="AF303" s="556"/>
      <c r="AG303" s="556"/>
      <c r="AH303" s="556"/>
      <c r="AI303" s="556"/>
      <c r="AJ303" s="556"/>
      <c r="AK303" s="556"/>
      <c r="AL303" s="556"/>
      <c r="AM303" s="556"/>
      <c r="AN303" s="556"/>
      <c r="AO303" s="556"/>
      <c r="AP303" s="556"/>
      <c r="AQ303" s="556"/>
      <c r="AR303" s="556"/>
      <c r="AS303" s="556"/>
      <c r="AT303" s="556"/>
      <c r="AU303" s="556"/>
    </row>
    <row r="304" spans="2:47" s="548" customFormat="1" x14ac:dyDescent="0.45">
      <c r="B304" s="549"/>
      <c r="C304" s="549"/>
      <c r="D304" s="549"/>
      <c r="G304" s="550"/>
      <c r="H304" s="551"/>
      <c r="I304" s="552"/>
      <c r="K304" s="553"/>
      <c r="L304" s="553"/>
      <c r="M304" s="554"/>
      <c r="N304" s="554"/>
      <c r="O304" s="555"/>
      <c r="Y304" s="336"/>
      <c r="Z304" s="340"/>
      <c r="AA304" s="556"/>
      <c r="AB304" s="556"/>
      <c r="AC304" s="556"/>
      <c r="AD304" s="556"/>
      <c r="AE304" s="556"/>
      <c r="AF304" s="556"/>
      <c r="AG304" s="556"/>
      <c r="AH304" s="556"/>
      <c r="AI304" s="556"/>
      <c r="AJ304" s="556"/>
      <c r="AK304" s="556"/>
      <c r="AL304" s="556"/>
      <c r="AM304" s="556"/>
      <c r="AN304" s="556"/>
      <c r="AO304" s="556"/>
      <c r="AP304" s="556"/>
      <c r="AQ304" s="556"/>
      <c r="AR304" s="556"/>
      <c r="AS304" s="556"/>
      <c r="AT304" s="556"/>
      <c r="AU304" s="556"/>
    </row>
    <row r="305" spans="2:47" s="548" customFormat="1" x14ac:dyDescent="0.45">
      <c r="B305" s="549"/>
      <c r="C305" s="549"/>
      <c r="D305" s="549"/>
      <c r="G305" s="550"/>
      <c r="H305" s="551"/>
      <c r="I305" s="552"/>
      <c r="K305" s="553"/>
      <c r="L305" s="553"/>
      <c r="M305" s="554"/>
      <c r="N305" s="554"/>
      <c r="O305" s="555"/>
      <c r="Y305" s="336"/>
      <c r="Z305" s="340"/>
      <c r="AA305" s="556"/>
      <c r="AB305" s="556"/>
      <c r="AC305" s="556"/>
      <c r="AD305" s="556"/>
      <c r="AE305" s="556"/>
      <c r="AF305" s="556"/>
      <c r="AG305" s="556"/>
      <c r="AH305" s="556"/>
      <c r="AI305" s="556"/>
      <c r="AJ305" s="556"/>
      <c r="AK305" s="556"/>
      <c r="AL305" s="556"/>
      <c r="AM305" s="556"/>
      <c r="AN305" s="556"/>
      <c r="AO305" s="556"/>
      <c r="AP305" s="556"/>
      <c r="AQ305" s="556"/>
      <c r="AR305" s="556"/>
      <c r="AS305" s="556"/>
      <c r="AT305" s="556"/>
      <c r="AU305" s="556"/>
    </row>
    <row r="306" spans="2:47" s="548" customFormat="1" x14ac:dyDescent="0.45">
      <c r="B306" s="549"/>
      <c r="C306" s="549"/>
      <c r="D306" s="549"/>
      <c r="G306" s="550"/>
      <c r="H306" s="551"/>
      <c r="I306" s="552"/>
      <c r="K306" s="553"/>
      <c r="L306" s="553"/>
      <c r="M306" s="554"/>
      <c r="N306" s="554"/>
      <c r="O306" s="555"/>
      <c r="Y306" s="336"/>
      <c r="Z306" s="340"/>
      <c r="AA306" s="556"/>
      <c r="AB306" s="556"/>
      <c r="AC306" s="556"/>
      <c r="AD306" s="556"/>
      <c r="AE306" s="556"/>
      <c r="AF306" s="556"/>
      <c r="AG306" s="556"/>
      <c r="AH306" s="556"/>
      <c r="AI306" s="556"/>
      <c r="AJ306" s="556"/>
      <c r="AK306" s="556"/>
      <c r="AL306" s="556"/>
      <c r="AM306" s="556"/>
      <c r="AN306" s="556"/>
      <c r="AO306" s="556"/>
      <c r="AP306" s="556"/>
      <c r="AQ306" s="556"/>
      <c r="AR306" s="556"/>
      <c r="AS306" s="556"/>
      <c r="AT306" s="556"/>
      <c r="AU306" s="556"/>
    </row>
    <row r="307" spans="2:47" s="548" customFormat="1" x14ac:dyDescent="0.45">
      <c r="B307" s="549"/>
      <c r="C307" s="549"/>
      <c r="D307" s="549"/>
      <c r="G307" s="550"/>
      <c r="H307" s="551"/>
      <c r="I307" s="552"/>
      <c r="K307" s="553"/>
      <c r="L307" s="553"/>
      <c r="M307" s="554"/>
      <c r="N307" s="554"/>
      <c r="O307" s="555"/>
      <c r="Y307" s="336"/>
      <c r="Z307" s="340"/>
      <c r="AA307" s="556"/>
      <c r="AB307" s="556"/>
      <c r="AC307" s="556"/>
      <c r="AD307" s="556"/>
      <c r="AE307" s="556"/>
      <c r="AF307" s="556"/>
      <c r="AG307" s="556"/>
      <c r="AH307" s="556"/>
      <c r="AI307" s="556"/>
      <c r="AJ307" s="556"/>
      <c r="AK307" s="556"/>
      <c r="AL307" s="556"/>
      <c r="AM307" s="556"/>
      <c r="AN307" s="556"/>
      <c r="AO307" s="556"/>
      <c r="AP307" s="556"/>
      <c r="AQ307" s="556"/>
      <c r="AR307" s="556"/>
      <c r="AS307" s="556"/>
      <c r="AT307" s="556"/>
      <c r="AU307" s="556"/>
    </row>
    <row r="308" spans="2:47" s="548" customFormat="1" x14ac:dyDescent="0.45">
      <c r="B308" s="549"/>
      <c r="C308" s="549"/>
      <c r="D308" s="549"/>
      <c r="G308" s="550"/>
      <c r="H308" s="551"/>
      <c r="I308" s="552"/>
      <c r="K308" s="553"/>
      <c r="L308" s="553"/>
      <c r="M308" s="554"/>
      <c r="N308" s="554"/>
      <c r="O308" s="555"/>
      <c r="Y308" s="336"/>
      <c r="Z308" s="340"/>
      <c r="AA308" s="556"/>
      <c r="AB308" s="556"/>
      <c r="AC308" s="556"/>
      <c r="AD308" s="556"/>
      <c r="AE308" s="556"/>
      <c r="AF308" s="556"/>
      <c r="AG308" s="556"/>
      <c r="AH308" s="556"/>
      <c r="AI308" s="556"/>
      <c r="AJ308" s="556"/>
      <c r="AK308" s="556"/>
      <c r="AL308" s="556"/>
      <c r="AM308" s="556"/>
      <c r="AN308" s="556"/>
      <c r="AO308" s="556"/>
      <c r="AP308" s="556"/>
      <c r="AQ308" s="556"/>
      <c r="AR308" s="556"/>
      <c r="AS308" s="556"/>
      <c r="AT308" s="556"/>
      <c r="AU308" s="556"/>
    </row>
    <row r="309" spans="2:47" s="548" customFormat="1" x14ac:dyDescent="0.45">
      <c r="B309" s="549"/>
      <c r="C309" s="549"/>
      <c r="D309" s="549"/>
      <c r="G309" s="550"/>
      <c r="H309" s="551"/>
      <c r="I309" s="552"/>
      <c r="K309" s="553"/>
      <c r="L309" s="553"/>
      <c r="M309" s="554"/>
      <c r="N309" s="554"/>
      <c r="O309" s="555"/>
      <c r="Y309" s="336"/>
      <c r="Z309" s="340"/>
      <c r="AA309" s="556"/>
      <c r="AB309" s="556"/>
      <c r="AC309" s="556"/>
      <c r="AD309" s="556"/>
      <c r="AE309" s="556"/>
      <c r="AF309" s="556"/>
      <c r="AG309" s="556"/>
      <c r="AH309" s="556"/>
      <c r="AI309" s="556"/>
      <c r="AJ309" s="556"/>
      <c r="AK309" s="556"/>
      <c r="AL309" s="556"/>
      <c r="AM309" s="556"/>
      <c r="AN309" s="556"/>
      <c r="AO309" s="556"/>
      <c r="AP309" s="556"/>
      <c r="AQ309" s="556"/>
      <c r="AR309" s="556"/>
      <c r="AS309" s="556"/>
      <c r="AT309" s="556"/>
      <c r="AU309" s="556"/>
    </row>
    <row r="310" spans="2:47" s="548" customFormat="1" x14ac:dyDescent="0.45">
      <c r="B310" s="549"/>
      <c r="C310" s="549"/>
      <c r="D310" s="549"/>
      <c r="G310" s="550"/>
      <c r="H310" s="551"/>
      <c r="I310" s="552"/>
      <c r="K310" s="553"/>
      <c r="L310" s="553"/>
      <c r="M310" s="554"/>
      <c r="N310" s="554"/>
      <c r="O310" s="555"/>
      <c r="Y310" s="336"/>
      <c r="Z310" s="340"/>
      <c r="AA310" s="556"/>
      <c r="AB310" s="556"/>
      <c r="AC310" s="556"/>
      <c r="AD310" s="556"/>
      <c r="AE310" s="556"/>
      <c r="AF310" s="556"/>
      <c r="AG310" s="556"/>
      <c r="AH310" s="556"/>
      <c r="AI310" s="556"/>
      <c r="AJ310" s="556"/>
      <c r="AK310" s="556"/>
      <c r="AL310" s="556"/>
      <c r="AM310" s="556"/>
      <c r="AN310" s="556"/>
      <c r="AO310" s="556"/>
      <c r="AP310" s="556"/>
      <c r="AQ310" s="556"/>
      <c r="AR310" s="556"/>
      <c r="AS310" s="556"/>
      <c r="AT310" s="556"/>
      <c r="AU310" s="556"/>
    </row>
    <row r="311" spans="2:47" s="548" customFormat="1" x14ac:dyDescent="0.45">
      <c r="B311" s="549"/>
      <c r="C311" s="549"/>
      <c r="D311" s="549"/>
      <c r="G311" s="550"/>
      <c r="H311" s="551"/>
      <c r="I311" s="552"/>
      <c r="K311" s="553"/>
      <c r="L311" s="553"/>
      <c r="M311" s="554"/>
      <c r="N311" s="554"/>
      <c r="O311" s="555"/>
      <c r="Y311" s="336"/>
      <c r="Z311" s="340"/>
      <c r="AA311" s="556"/>
      <c r="AB311" s="556"/>
      <c r="AC311" s="556"/>
      <c r="AD311" s="556"/>
      <c r="AE311" s="556"/>
      <c r="AF311" s="556"/>
      <c r="AG311" s="556"/>
      <c r="AH311" s="556"/>
      <c r="AI311" s="556"/>
      <c r="AJ311" s="556"/>
      <c r="AK311" s="556"/>
      <c r="AL311" s="556"/>
      <c r="AM311" s="556"/>
      <c r="AN311" s="556"/>
      <c r="AO311" s="556"/>
      <c r="AP311" s="556"/>
      <c r="AQ311" s="556"/>
      <c r="AR311" s="556"/>
      <c r="AS311" s="556"/>
      <c r="AT311" s="556"/>
      <c r="AU311" s="556"/>
    </row>
    <row r="312" spans="2:47" s="548" customFormat="1" x14ac:dyDescent="0.45">
      <c r="B312" s="549"/>
      <c r="C312" s="549"/>
      <c r="D312" s="549"/>
      <c r="G312" s="550"/>
      <c r="H312" s="551"/>
      <c r="I312" s="552"/>
      <c r="K312" s="553"/>
      <c r="L312" s="553"/>
      <c r="M312" s="554"/>
      <c r="N312" s="554"/>
      <c r="O312" s="555"/>
      <c r="Y312" s="336"/>
      <c r="Z312" s="340"/>
      <c r="AA312" s="556"/>
      <c r="AB312" s="556"/>
      <c r="AC312" s="556"/>
      <c r="AD312" s="556"/>
      <c r="AE312" s="556"/>
      <c r="AF312" s="556"/>
      <c r="AG312" s="556"/>
      <c r="AH312" s="556"/>
      <c r="AI312" s="556"/>
      <c r="AJ312" s="556"/>
      <c r="AK312" s="556"/>
      <c r="AL312" s="556"/>
      <c r="AM312" s="556"/>
      <c r="AN312" s="556"/>
      <c r="AO312" s="556"/>
      <c r="AP312" s="556"/>
      <c r="AQ312" s="556"/>
      <c r="AR312" s="556"/>
      <c r="AS312" s="556"/>
      <c r="AT312" s="556"/>
      <c r="AU312" s="556"/>
    </row>
    <row r="313" spans="2:47" s="548" customFormat="1" x14ac:dyDescent="0.45">
      <c r="B313" s="549"/>
      <c r="C313" s="549"/>
      <c r="D313" s="549"/>
      <c r="G313" s="550"/>
      <c r="H313" s="551"/>
      <c r="I313" s="552"/>
      <c r="K313" s="553"/>
      <c r="L313" s="553"/>
      <c r="M313" s="554"/>
      <c r="N313" s="554"/>
      <c r="O313" s="555"/>
      <c r="Y313" s="336"/>
      <c r="Z313" s="340"/>
      <c r="AA313" s="556"/>
      <c r="AB313" s="556"/>
      <c r="AC313" s="556"/>
      <c r="AD313" s="556"/>
      <c r="AE313" s="556"/>
      <c r="AF313" s="556"/>
      <c r="AG313" s="556"/>
      <c r="AH313" s="556"/>
      <c r="AI313" s="556"/>
      <c r="AJ313" s="556"/>
      <c r="AK313" s="556"/>
      <c r="AL313" s="556"/>
      <c r="AM313" s="556"/>
      <c r="AN313" s="556"/>
      <c r="AO313" s="556"/>
      <c r="AP313" s="556"/>
      <c r="AQ313" s="556"/>
      <c r="AR313" s="556"/>
      <c r="AS313" s="556"/>
      <c r="AT313" s="556"/>
      <c r="AU313" s="556"/>
    </row>
    <row r="314" spans="2:47" s="548" customFormat="1" x14ac:dyDescent="0.45">
      <c r="B314" s="549"/>
      <c r="C314" s="549"/>
      <c r="D314" s="549"/>
      <c r="G314" s="550"/>
      <c r="H314" s="551"/>
      <c r="I314" s="552"/>
      <c r="K314" s="553"/>
      <c r="L314" s="553"/>
      <c r="M314" s="554"/>
      <c r="N314" s="554"/>
      <c r="O314" s="555"/>
      <c r="Y314" s="336"/>
      <c r="Z314" s="340"/>
      <c r="AA314" s="556"/>
      <c r="AB314" s="556"/>
      <c r="AC314" s="556"/>
      <c r="AD314" s="556"/>
      <c r="AE314" s="556"/>
      <c r="AF314" s="556"/>
      <c r="AG314" s="556"/>
      <c r="AH314" s="556"/>
      <c r="AI314" s="556"/>
      <c r="AJ314" s="556"/>
      <c r="AK314" s="556"/>
      <c r="AL314" s="556"/>
      <c r="AM314" s="556"/>
      <c r="AN314" s="556"/>
      <c r="AO314" s="556"/>
      <c r="AP314" s="556"/>
      <c r="AQ314" s="556"/>
      <c r="AR314" s="556"/>
      <c r="AS314" s="556"/>
      <c r="AT314" s="556"/>
      <c r="AU314" s="556"/>
    </row>
    <row r="315" spans="2:47" s="548" customFormat="1" x14ac:dyDescent="0.45">
      <c r="B315" s="549"/>
      <c r="C315" s="549"/>
      <c r="D315" s="549"/>
      <c r="G315" s="550"/>
      <c r="H315" s="551"/>
      <c r="I315" s="552"/>
      <c r="K315" s="553"/>
      <c r="L315" s="553"/>
      <c r="M315" s="554"/>
      <c r="N315" s="554"/>
      <c r="O315" s="555"/>
      <c r="Y315" s="336"/>
      <c r="Z315" s="340"/>
      <c r="AA315" s="556"/>
      <c r="AB315" s="556"/>
      <c r="AC315" s="556"/>
      <c r="AD315" s="556"/>
      <c r="AE315" s="556"/>
      <c r="AF315" s="556"/>
      <c r="AG315" s="556"/>
      <c r="AH315" s="556"/>
      <c r="AI315" s="556"/>
      <c r="AJ315" s="556"/>
      <c r="AK315" s="556"/>
      <c r="AL315" s="556"/>
      <c r="AM315" s="556"/>
      <c r="AN315" s="556"/>
      <c r="AO315" s="556"/>
      <c r="AP315" s="556"/>
      <c r="AQ315" s="556"/>
      <c r="AR315" s="556"/>
      <c r="AS315" s="556"/>
      <c r="AT315" s="556"/>
      <c r="AU315" s="556"/>
    </row>
    <row r="316" spans="2:47" s="548" customFormat="1" x14ac:dyDescent="0.45">
      <c r="B316" s="549"/>
      <c r="C316" s="549"/>
      <c r="D316" s="549"/>
      <c r="G316" s="550"/>
      <c r="H316" s="551"/>
      <c r="I316" s="552"/>
      <c r="K316" s="553"/>
      <c r="L316" s="553"/>
      <c r="M316" s="554"/>
      <c r="N316" s="554"/>
      <c r="O316" s="555"/>
      <c r="Y316" s="336"/>
      <c r="Z316" s="340"/>
      <c r="AA316" s="556"/>
      <c r="AB316" s="556"/>
      <c r="AC316" s="556"/>
      <c r="AD316" s="556"/>
      <c r="AE316" s="556"/>
      <c r="AF316" s="556"/>
      <c r="AG316" s="556"/>
      <c r="AH316" s="556"/>
      <c r="AI316" s="556"/>
      <c r="AJ316" s="556"/>
      <c r="AK316" s="556"/>
      <c r="AL316" s="556"/>
      <c r="AM316" s="556"/>
      <c r="AN316" s="556"/>
      <c r="AO316" s="556"/>
      <c r="AP316" s="556"/>
      <c r="AQ316" s="556"/>
      <c r="AR316" s="556"/>
      <c r="AS316" s="556"/>
      <c r="AT316" s="556"/>
      <c r="AU316" s="556"/>
    </row>
    <row r="317" spans="2:47" s="548" customFormat="1" x14ac:dyDescent="0.45">
      <c r="B317" s="549"/>
      <c r="C317" s="549"/>
      <c r="D317" s="549"/>
      <c r="G317" s="550"/>
      <c r="H317" s="551"/>
      <c r="I317" s="552"/>
      <c r="K317" s="553"/>
      <c r="L317" s="553"/>
      <c r="M317" s="554"/>
      <c r="N317" s="554"/>
      <c r="O317" s="555"/>
      <c r="Y317" s="336"/>
      <c r="Z317" s="340"/>
      <c r="AA317" s="556"/>
      <c r="AB317" s="556"/>
      <c r="AC317" s="556"/>
      <c r="AD317" s="556"/>
      <c r="AE317" s="556"/>
      <c r="AF317" s="556"/>
      <c r="AG317" s="556"/>
      <c r="AH317" s="556"/>
      <c r="AI317" s="556"/>
      <c r="AJ317" s="556"/>
      <c r="AK317" s="556"/>
      <c r="AL317" s="556"/>
      <c r="AM317" s="556"/>
      <c r="AN317" s="556"/>
      <c r="AO317" s="556"/>
      <c r="AP317" s="556"/>
      <c r="AQ317" s="556"/>
      <c r="AR317" s="556"/>
      <c r="AS317" s="556"/>
      <c r="AT317" s="556"/>
      <c r="AU317" s="556"/>
    </row>
    <row r="318" spans="2:47" s="548" customFormat="1" x14ac:dyDescent="0.45">
      <c r="B318" s="549"/>
      <c r="C318" s="549"/>
      <c r="D318" s="549"/>
      <c r="G318" s="550"/>
      <c r="H318" s="551"/>
      <c r="I318" s="552"/>
      <c r="K318" s="553"/>
      <c r="L318" s="553"/>
      <c r="M318" s="554"/>
      <c r="N318" s="554"/>
      <c r="O318" s="555"/>
      <c r="Y318" s="336"/>
      <c r="Z318" s="340"/>
      <c r="AA318" s="556"/>
      <c r="AB318" s="556"/>
      <c r="AC318" s="556"/>
      <c r="AD318" s="556"/>
      <c r="AE318" s="556"/>
      <c r="AF318" s="556"/>
      <c r="AG318" s="556"/>
      <c r="AH318" s="556"/>
      <c r="AI318" s="556"/>
      <c r="AJ318" s="556"/>
      <c r="AK318" s="556"/>
      <c r="AL318" s="556"/>
      <c r="AM318" s="556"/>
      <c r="AN318" s="556"/>
      <c r="AO318" s="556"/>
      <c r="AP318" s="556"/>
      <c r="AQ318" s="556"/>
      <c r="AR318" s="556"/>
      <c r="AS318" s="556"/>
      <c r="AT318" s="556"/>
      <c r="AU318" s="556"/>
    </row>
    <row r="319" spans="2:47" s="548" customFormat="1" x14ac:dyDescent="0.45">
      <c r="B319" s="549"/>
      <c r="C319" s="549"/>
      <c r="D319" s="549"/>
      <c r="G319" s="550"/>
      <c r="H319" s="551"/>
      <c r="I319" s="552"/>
      <c r="K319" s="553"/>
      <c r="L319" s="553"/>
      <c r="M319" s="554"/>
      <c r="N319" s="554"/>
      <c r="O319" s="555"/>
      <c r="Y319" s="336"/>
      <c r="Z319" s="340"/>
      <c r="AA319" s="556"/>
      <c r="AB319" s="556"/>
      <c r="AC319" s="556"/>
      <c r="AD319" s="556"/>
      <c r="AE319" s="556"/>
      <c r="AF319" s="556"/>
      <c r="AG319" s="556"/>
      <c r="AH319" s="556"/>
      <c r="AI319" s="556"/>
      <c r="AJ319" s="556"/>
      <c r="AK319" s="556"/>
      <c r="AL319" s="556"/>
      <c r="AM319" s="556"/>
      <c r="AN319" s="556"/>
      <c r="AO319" s="556"/>
      <c r="AP319" s="556"/>
      <c r="AQ319" s="556"/>
      <c r="AR319" s="556"/>
      <c r="AS319" s="556"/>
      <c r="AT319" s="556"/>
      <c r="AU319" s="556"/>
    </row>
    <row r="320" spans="2:47" s="548" customFormat="1" x14ac:dyDescent="0.45">
      <c r="B320" s="549"/>
      <c r="C320" s="549"/>
      <c r="D320" s="549"/>
      <c r="G320" s="550"/>
      <c r="H320" s="551"/>
      <c r="I320" s="552"/>
      <c r="K320" s="553"/>
      <c r="L320" s="553"/>
      <c r="M320" s="554"/>
      <c r="N320" s="554"/>
      <c r="O320" s="555"/>
      <c r="Y320" s="336"/>
      <c r="Z320" s="340"/>
      <c r="AA320" s="556"/>
      <c r="AB320" s="556"/>
      <c r="AC320" s="556"/>
      <c r="AD320" s="556"/>
      <c r="AE320" s="556"/>
      <c r="AF320" s="556"/>
      <c r="AG320" s="556"/>
      <c r="AH320" s="556"/>
      <c r="AI320" s="556"/>
      <c r="AJ320" s="556"/>
      <c r="AK320" s="556"/>
      <c r="AL320" s="556"/>
      <c r="AM320" s="556"/>
      <c r="AN320" s="556"/>
      <c r="AO320" s="556"/>
      <c r="AP320" s="556"/>
      <c r="AQ320" s="556"/>
      <c r="AR320" s="556"/>
      <c r="AS320" s="556"/>
      <c r="AT320" s="556"/>
      <c r="AU320" s="556"/>
    </row>
    <row r="321" spans="2:47" s="548" customFormat="1" x14ac:dyDescent="0.45">
      <c r="B321" s="549"/>
      <c r="C321" s="549"/>
      <c r="D321" s="549"/>
      <c r="G321" s="550"/>
      <c r="H321" s="551"/>
      <c r="I321" s="552"/>
      <c r="K321" s="553"/>
      <c r="L321" s="553"/>
      <c r="M321" s="554"/>
      <c r="N321" s="554"/>
      <c r="O321" s="555"/>
      <c r="Y321" s="336"/>
      <c r="Z321" s="340"/>
      <c r="AA321" s="556"/>
      <c r="AB321" s="556"/>
      <c r="AC321" s="556"/>
      <c r="AD321" s="556"/>
      <c r="AE321" s="556"/>
      <c r="AF321" s="556"/>
      <c r="AG321" s="556"/>
      <c r="AH321" s="556"/>
      <c r="AI321" s="556"/>
      <c r="AJ321" s="556"/>
      <c r="AK321" s="556"/>
      <c r="AL321" s="556"/>
      <c r="AM321" s="556"/>
      <c r="AN321" s="556"/>
      <c r="AO321" s="556"/>
      <c r="AP321" s="556"/>
      <c r="AQ321" s="556"/>
      <c r="AR321" s="556"/>
      <c r="AS321" s="556"/>
      <c r="AT321" s="556"/>
      <c r="AU321" s="556"/>
    </row>
    <row r="322" spans="2:47" s="548" customFormat="1" x14ac:dyDescent="0.45">
      <c r="B322" s="549"/>
      <c r="C322" s="549"/>
      <c r="D322" s="549"/>
      <c r="G322" s="550"/>
      <c r="H322" s="551"/>
      <c r="I322" s="552"/>
      <c r="K322" s="553"/>
      <c r="L322" s="553"/>
      <c r="M322" s="554"/>
      <c r="N322" s="554"/>
      <c r="O322" s="555"/>
      <c r="Y322" s="336"/>
      <c r="Z322" s="340"/>
      <c r="AA322" s="556"/>
      <c r="AB322" s="556"/>
      <c r="AC322" s="556"/>
      <c r="AD322" s="556"/>
      <c r="AE322" s="556"/>
      <c r="AF322" s="556"/>
      <c r="AG322" s="556"/>
      <c r="AH322" s="556"/>
      <c r="AI322" s="556"/>
      <c r="AJ322" s="556"/>
      <c r="AK322" s="556"/>
      <c r="AL322" s="556"/>
      <c r="AM322" s="556"/>
      <c r="AN322" s="556"/>
      <c r="AO322" s="556"/>
      <c r="AP322" s="556"/>
      <c r="AQ322" s="556"/>
      <c r="AR322" s="556"/>
      <c r="AS322" s="556"/>
      <c r="AT322" s="556"/>
      <c r="AU322" s="556"/>
    </row>
    <row r="323" spans="2:47" s="548" customFormat="1" x14ac:dyDescent="0.45">
      <c r="B323" s="549"/>
      <c r="C323" s="549"/>
      <c r="D323" s="549"/>
      <c r="G323" s="550"/>
      <c r="H323" s="551"/>
      <c r="I323" s="552"/>
      <c r="K323" s="553"/>
      <c r="L323" s="553"/>
      <c r="M323" s="554"/>
      <c r="N323" s="554"/>
      <c r="O323" s="555"/>
      <c r="Y323" s="336"/>
      <c r="Z323" s="340"/>
      <c r="AA323" s="556"/>
      <c r="AB323" s="556"/>
      <c r="AC323" s="556"/>
      <c r="AD323" s="556"/>
      <c r="AE323" s="556"/>
      <c r="AF323" s="556"/>
      <c r="AG323" s="556"/>
      <c r="AH323" s="556"/>
      <c r="AI323" s="556"/>
      <c r="AJ323" s="556"/>
      <c r="AK323" s="556"/>
      <c r="AL323" s="556"/>
      <c r="AM323" s="556"/>
      <c r="AN323" s="556"/>
      <c r="AO323" s="556"/>
      <c r="AP323" s="556"/>
      <c r="AQ323" s="556"/>
      <c r="AR323" s="556"/>
      <c r="AS323" s="556"/>
      <c r="AT323" s="556"/>
      <c r="AU323" s="556"/>
    </row>
    <row r="324" spans="2:47" s="548" customFormat="1" x14ac:dyDescent="0.45">
      <c r="B324" s="549"/>
      <c r="C324" s="549"/>
      <c r="D324" s="549"/>
      <c r="G324" s="550"/>
      <c r="H324" s="551"/>
      <c r="I324" s="552"/>
      <c r="K324" s="553"/>
      <c r="L324" s="553"/>
      <c r="M324" s="554"/>
      <c r="N324" s="554"/>
      <c r="O324" s="555"/>
      <c r="Y324" s="336"/>
      <c r="Z324" s="340"/>
      <c r="AA324" s="556"/>
      <c r="AB324" s="556"/>
      <c r="AC324" s="556"/>
      <c r="AD324" s="556"/>
      <c r="AE324" s="556"/>
      <c r="AF324" s="556"/>
      <c r="AG324" s="556"/>
      <c r="AH324" s="556"/>
      <c r="AI324" s="556"/>
      <c r="AJ324" s="556"/>
      <c r="AK324" s="556"/>
      <c r="AL324" s="556"/>
      <c r="AM324" s="556"/>
      <c r="AN324" s="556"/>
      <c r="AO324" s="556"/>
      <c r="AP324" s="556"/>
      <c r="AQ324" s="556"/>
      <c r="AR324" s="556"/>
      <c r="AS324" s="556"/>
      <c r="AT324" s="556"/>
      <c r="AU324" s="556"/>
    </row>
    <row r="325" spans="2:47" s="548" customFormat="1" x14ac:dyDescent="0.45">
      <c r="B325" s="549"/>
      <c r="C325" s="549"/>
      <c r="D325" s="549"/>
      <c r="G325" s="550"/>
      <c r="H325" s="551"/>
      <c r="I325" s="552"/>
      <c r="K325" s="553"/>
      <c r="L325" s="553"/>
      <c r="M325" s="554"/>
      <c r="N325" s="554"/>
      <c r="O325" s="555"/>
      <c r="Y325" s="336"/>
      <c r="Z325" s="340"/>
      <c r="AA325" s="556"/>
      <c r="AB325" s="556"/>
      <c r="AC325" s="556"/>
      <c r="AD325" s="556"/>
      <c r="AE325" s="556"/>
      <c r="AF325" s="556"/>
      <c r="AG325" s="556"/>
      <c r="AH325" s="556"/>
      <c r="AI325" s="556"/>
      <c r="AJ325" s="556"/>
      <c r="AK325" s="556"/>
      <c r="AL325" s="556"/>
      <c r="AM325" s="556"/>
      <c r="AN325" s="556"/>
      <c r="AO325" s="556"/>
      <c r="AP325" s="556"/>
      <c r="AQ325" s="556"/>
      <c r="AR325" s="556"/>
      <c r="AS325" s="556"/>
      <c r="AT325" s="556"/>
      <c r="AU325" s="556"/>
    </row>
    <row r="326" spans="2:47" s="548" customFormat="1" x14ac:dyDescent="0.45">
      <c r="B326" s="549"/>
      <c r="C326" s="549"/>
      <c r="D326" s="549"/>
      <c r="G326" s="550"/>
      <c r="H326" s="551"/>
      <c r="I326" s="552"/>
      <c r="K326" s="553"/>
      <c r="L326" s="553"/>
      <c r="M326" s="554"/>
      <c r="N326" s="554"/>
      <c r="O326" s="555"/>
      <c r="Y326" s="336"/>
      <c r="Z326" s="340"/>
      <c r="AA326" s="556"/>
      <c r="AB326" s="556"/>
      <c r="AC326" s="556"/>
      <c r="AD326" s="556"/>
      <c r="AE326" s="556"/>
      <c r="AF326" s="556"/>
      <c r="AG326" s="556"/>
      <c r="AH326" s="556"/>
      <c r="AI326" s="556"/>
      <c r="AJ326" s="556"/>
      <c r="AK326" s="556"/>
      <c r="AL326" s="556"/>
      <c r="AM326" s="556"/>
      <c r="AN326" s="556"/>
      <c r="AO326" s="556"/>
      <c r="AP326" s="556"/>
      <c r="AQ326" s="556"/>
      <c r="AR326" s="556"/>
      <c r="AS326" s="556"/>
      <c r="AT326" s="556"/>
      <c r="AU326" s="556"/>
    </row>
    <row r="327" spans="2:47" s="548" customFormat="1" x14ac:dyDescent="0.45">
      <c r="B327" s="549"/>
      <c r="C327" s="549"/>
      <c r="D327" s="549"/>
      <c r="G327" s="550"/>
      <c r="H327" s="551"/>
      <c r="I327" s="552"/>
      <c r="K327" s="553"/>
      <c r="L327" s="553"/>
      <c r="M327" s="554"/>
      <c r="N327" s="554"/>
      <c r="O327" s="555"/>
      <c r="Y327" s="336"/>
      <c r="Z327" s="340"/>
      <c r="AA327" s="556"/>
      <c r="AB327" s="556"/>
      <c r="AC327" s="556"/>
      <c r="AD327" s="556"/>
      <c r="AE327" s="556"/>
      <c r="AF327" s="556"/>
      <c r="AG327" s="556"/>
      <c r="AH327" s="556"/>
      <c r="AI327" s="556"/>
      <c r="AJ327" s="556"/>
      <c r="AK327" s="556"/>
      <c r="AL327" s="556"/>
      <c r="AM327" s="556"/>
      <c r="AN327" s="556"/>
      <c r="AO327" s="556"/>
      <c r="AP327" s="556"/>
      <c r="AQ327" s="556"/>
      <c r="AR327" s="556"/>
      <c r="AS327" s="556"/>
      <c r="AT327" s="556"/>
      <c r="AU327" s="556"/>
    </row>
    <row r="328" spans="2:47" s="548" customFormat="1" x14ac:dyDescent="0.45">
      <c r="B328" s="549"/>
      <c r="C328" s="549"/>
      <c r="D328" s="549"/>
      <c r="G328" s="550"/>
      <c r="H328" s="551"/>
      <c r="I328" s="552"/>
      <c r="K328" s="553"/>
      <c r="L328" s="553"/>
      <c r="M328" s="554"/>
      <c r="N328" s="554"/>
      <c r="O328" s="555"/>
      <c r="Y328" s="336"/>
      <c r="Z328" s="340"/>
      <c r="AA328" s="556"/>
      <c r="AB328" s="556"/>
      <c r="AC328" s="556"/>
      <c r="AD328" s="556"/>
      <c r="AE328" s="556"/>
      <c r="AF328" s="556"/>
      <c r="AG328" s="556"/>
      <c r="AH328" s="556"/>
      <c r="AI328" s="556"/>
      <c r="AJ328" s="556"/>
      <c r="AK328" s="556"/>
      <c r="AL328" s="556"/>
      <c r="AM328" s="556"/>
      <c r="AN328" s="556"/>
      <c r="AO328" s="556"/>
      <c r="AP328" s="556"/>
      <c r="AQ328" s="556"/>
      <c r="AR328" s="556"/>
      <c r="AS328" s="556"/>
      <c r="AT328" s="556"/>
      <c r="AU328" s="556"/>
    </row>
    <row r="329" spans="2:47" s="548" customFormat="1" x14ac:dyDescent="0.45">
      <c r="B329" s="549"/>
      <c r="C329" s="549"/>
      <c r="D329" s="549"/>
      <c r="G329" s="550"/>
      <c r="H329" s="551"/>
      <c r="I329" s="552"/>
      <c r="K329" s="553"/>
      <c r="L329" s="553"/>
      <c r="M329" s="554"/>
      <c r="N329" s="554"/>
      <c r="O329" s="555"/>
      <c r="Y329" s="336"/>
      <c r="Z329" s="340"/>
      <c r="AA329" s="556"/>
      <c r="AB329" s="556"/>
      <c r="AC329" s="556"/>
      <c r="AD329" s="556"/>
      <c r="AE329" s="556"/>
      <c r="AF329" s="556"/>
      <c r="AG329" s="556"/>
      <c r="AH329" s="556"/>
      <c r="AI329" s="556"/>
      <c r="AJ329" s="556"/>
      <c r="AK329" s="556"/>
      <c r="AL329" s="556"/>
      <c r="AM329" s="556"/>
      <c r="AN329" s="556"/>
      <c r="AO329" s="556"/>
      <c r="AP329" s="556"/>
      <c r="AQ329" s="556"/>
      <c r="AR329" s="556"/>
      <c r="AS329" s="556"/>
      <c r="AT329" s="556"/>
      <c r="AU329" s="556"/>
    </row>
    <row r="330" spans="2:47" s="548" customFormat="1" x14ac:dyDescent="0.45">
      <c r="B330" s="549"/>
      <c r="C330" s="549"/>
      <c r="D330" s="549"/>
      <c r="G330" s="550"/>
      <c r="H330" s="551"/>
      <c r="I330" s="552"/>
      <c r="K330" s="553"/>
      <c r="L330" s="553"/>
      <c r="M330" s="554"/>
      <c r="N330" s="554"/>
      <c r="O330" s="555"/>
      <c r="Y330" s="336"/>
      <c r="Z330" s="340"/>
      <c r="AA330" s="556"/>
      <c r="AB330" s="556"/>
      <c r="AC330" s="556"/>
      <c r="AD330" s="556"/>
      <c r="AE330" s="556"/>
      <c r="AF330" s="556"/>
      <c r="AG330" s="556"/>
      <c r="AH330" s="556"/>
      <c r="AI330" s="556"/>
      <c r="AJ330" s="556"/>
      <c r="AK330" s="556"/>
      <c r="AL330" s="556"/>
      <c r="AM330" s="556"/>
      <c r="AN330" s="556"/>
      <c r="AO330" s="556"/>
      <c r="AP330" s="556"/>
      <c r="AQ330" s="556"/>
      <c r="AR330" s="556"/>
      <c r="AS330" s="556"/>
      <c r="AT330" s="556"/>
      <c r="AU330" s="556"/>
    </row>
    <row r="331" spans="2:47" s="548" customFormat="1" x14ac:dyDescent="0.45">
      <c r="B331" s="549"/>
      <c r="C331" s="549"/>
      <c r="D331" s="549"/>
      <c r="G331" s="550"/>
      <c r="H331" s="551"/>
      <c r="I331" s="552"/>
      <c r="K331" s="553"/>
      <c r="L331" s="553"/>
      <c r="M331" s="554"/>
      <c r="N331" s="554"/>
      <c r="O331" s="555"/>
      <c r="Y331" s="336"/>
      <c r="Z331" s="340"/>
      <c r="AA331" s="556"/>
      <c r="AB331" s="556"/>
      <c r="AC331" s="556"/>
      <c r="AD331" s="556"/>
      <c r="AE331" s="556"/>
      <c r="AF331" s="556"/>
      <c r="AG331" s="556"/>
      <c r="AH331" s="556"/>
      <c r="AI331" s="556"/>
      <c r="AJ331" s="556"/>
      <c r="AK331" s="556"/>
      <c r="AL331" s="556"/>
      <c r="AM331" s="556"/>
      <c r="AN331" s="556"/>
      <c r="AO331" s="556"/>
      <c r="AP331" s="556"/>
      <c r="AQ331" s="556"/>
      <c r="AR331" s="556"/>
      <c r="AS331" s="556"/>
      <c r="AT331" s="556"/>
      <c r="AU331" s="556"/>
    </row>
    <row r="332" spans="2:47" x14ac:dyDescent="0.45">
      <c r="G332" s="351"/>
    </row>
  </sheetData>
  <sheetProtection selectLockedCells="1"/>
  <mergeCells count="392">
    <mergeCell ref="C209:D209"/>
    <mergeCell ref="M209:M231"/>
    <mergeCell ref="N209:N231"/>
    <mergeCell ref="O209:O231"/>
    <mergeCell ref="P209:P231"/>
    <mergeCell ref="C219:D219"/>
    <mergeCell ref="C228:D228"/>
    <mergeCell ref="B220:B221"/>
    <mergeCell ref="E220:E221"/>
    <mergeCell ref="H220:H221"/>
    <mergeCell ref="B210:B218"/>
    <mergeCell ref="E210:E218"/>
    <mergeCell ref="H210:H218"/>
    <mergeCell ref="B229:B231"/>
    <mergeCell ref="E229:E231"/>
    <mergeCell ref="H229:H231"/>
    <mergeCell ref="C222:D222"/>
    <mergeCell ref="B223:B227"/>
    <mergeCell ref="E223:E227"/>
    <mergeCell ref="H223:H227"/>
    <mergeCell ref="C204:D204"/>
    <mergeCell ref="B205:B206"/>
    <mergeCell ref="E205:E206"/>
    <mergeCell ref="H205:H206"/>
    <mergeCell ref="C200:D200"/>
    <mergeCell ref="B201:B203"/>
    <mergeCell ref="E201:E203"/>
    <mergeCell ref="H201:H203"/>
    <mergeCell ref="C207:D207"/>
    <mergeCell ref="C175:D175"/>
    <mergeCell ref="B176:B181"/>
    <mergeCell ref="E176:E181"/>
    <mergeCell ref="H176:H181"/>
    <mergeCell ref="C182:D182"/>
    <mergeCell ref="C193:D193"/>
    <mergeCell ref="B194:B199"/>
    <mergeCell ref="E194:E199"/>
    <mergeCell ref="H194:H199"/>
    <mergeCell ref="B183:B192"/>
    <mergeCell ref="E183:E192"/>
    <mergeCell ref="H183:H192"/>
    <mergeCell ref="S190:Y190"/>
    <mergeCell ref="S189:Y189"/>
    <mergeCell ref="S188:Y188"/>
    <mergeCell ref="S192:Y192"/>
    <mergeCell ref="S181:Y181"/>
    <mergeCell ref="B169:B173"/>
    <mergeCell ref="E169:E173"/>
    <mergeCell ref="H169:H173"/>
    <mergeCell ref="S169:Y169"/>
    <mergeCell ref="S173:Y173"/>
    <mergeCell ref="C174:D174"/>
    <mergeCell ref="S174:Y174"/>
    <mergeCell ref="S187:Y187"/>
    <mergeCell ref="S186:Y186"/>
    <mergeCell ref="S185:Y185"/>
    <mergeCell ref="S184:Y184"/>
    <mergeCell ref="S183:Y183"/>
    <mergeCell ref="S182:Y182"/>
    <mergeCell ref="S180:Y180"/>
    <mergeCell ref="S179:Y179"/>
    <mergeCell ref="S178:Y178"/>
    <mergeCell ref="S177:Y177"/>
    <mergeCell ref="S176:Y176"/>
    <mergeCell ref="S175:Y175"/>
    <mergeCell ref="B152:B167"/>
    <mergeCell ref="E152:E167"/>
    <mergeCell ref="H152:H167"/>
    <mergeCell ref="S164:Y164"/>
    <mergeCell ref="S165:Y165"/>
    <mergeCell ref="S166:Y166"/>
    <mergeCell ref="S167:Y167"/>
    <mergeCell ref="C168:D168"/>
    <mergeCell ref="M168:M207"/>
    <mergeCell ref="N168:N207"/>
    <mergeCell ref="O168:O207"/>
    <mergeCell ref="P168:P207"/>
    <mergeCell ref="S168:Y168"/>
    <mergeCell ref="S203:Y203"/>
    <mergeCell ref="S202:Y202"/>
    <mergeCell ref="S201:Y201"/>
    <mergeCell ref="S200:Y200"/>
    <mergeCell ref="S199:Y199"/>
    <mergeCell ref="S197:Y197"/>
    <mergeCell ref="S196:Y196"/>
    <mergeCell ref="S195:Y195"/>
    <mergeCell ref="S194:Y194"/>
    <mergeCell ref="S193:Y193"/>
    <mergeCell ref="S191:Y191"/>
    <mergeCell ref="C151:D151"/>
    <mergeCell ref="S151:Y151"/>
    <mergeCell ref="C141:D141"/>
    <mergeCell ref="S141:Y141"/>
    <mergeCell ref="B142:B150"/>
    <mergeCell ref="E142:E150"/>
    <mergeCell ref="H142:H150"/>
    <mergeCell ref="S142:Y142"/>
    <mergeCell ref="S143:Y143"/>
    <mergeCell ref="S144:Y144"/>
    <mergeCell ref="S145:Y145"/>
    <mergeCell ref="C135:D135"/>
    <mergeCell ref="C136:D136"/>
    <mergeCell ref="B137:B140"/>
    <mergeCell ref="E137:E140"/>
    <mergeCell ref="H137:H140"/>
    <mergeCell ref="S146:Y146"/>
    <mergeCell ref="S147:Y147"/>
    <mergeCell ref="S148:Y148"/>
    <mergeCell ref="S150:Y150"/>
    <mergeCell ref="S138:Y138"/>
    <mergeCell ref="S137:Y137"/>
    <mergeCell ref="S136:Y136"/>
    <mergeCell ref="S135:Y135"/>
    <mergeCell ref="C116:D116"/>
    <mergeCell ref="S116:Y116"/>
    <mergeCell ref="B117:B128"/>
    <mergeCell ref="E117:E128"/>
    <mergeCell ref="H117:H128"/>
    <mergeCell ref="S117:Y117"/>
    <mergeCell ref="S118:Y118"/>
    <mergeCell ref="S119:Y119"/>
    <mergeCell ref="S120:Y120"/>
    <mergeCell ref="S121:Y121"/>
    <mergeCell ref="S128:Y128"/>
    <mergeCell ref="C96:D96"/>
    <mergeCell ref="M96:M167"/>
    <mergeCell ref="N96:N167"/>
    <mergeCell ref="O96:O167"/>
    <mergeCell ref="P96:P167"/>
    <mergeCell ref="C103:D103"/>
    <mergeCell ref="B104:B105"/>
    <mergeCell ref="E104:E105"/>
    <mergeCell ref="H104:H105"/>
    <mergeCell ref="B97:B102"/>
    <mergeCell ref="E97:E102"/>
    <mergeCell ref="H97:H102"/>
    <mergeCell ref="C112:D112"/>
    <mergeCell ref="B113:B115"/>
    <mergeCell ref="E113:E115"/>
    <mergeCell ref="H113:H115"/>
    <mergeCell ref="C106:D106"/>
    <mergeCell ref="B107:B111"/>
    <mergeCell ref="E107:E111"/>
    <mergeCell ref="H107:H111"/>
    <mergeCell ref="C129:D129"/>
    <mergeCell ref="B130:B134"/>
    <mergeCell ref="E130:E134"/>
    <mergeCell ref="H130:H134"/>
    <mergeCell ref="C78:D78"/>
    <mergeCell ref="F78:F79"/>
    <mergeCell ref="M78:M95"/>
    <mergeCell ref="N78:N95"/>
    <mergeCell ref="O78:O95"/>
    <mergeCell ref="P78:P95"/>
    <mergeCell ref="C79:D79"/>
    <mergeCell ref="B80:B87"/>
    <mergeCell ref="E80:E87"/>
    <mergeCell ref="H80:H87"/>
    <mergeCell ref="C88:D88"/>
    <mergeCell ref="B89:B95"/>
    <mergeCell ref="E89:E95"/>
    <mergeCell ref="H89:H95"/>
    <mergeCell ref="C47:D47"/>
    <mergeCell ref="B55:B59"/>
    <mergeCell ref="E55:E59"/>
    <mergeCell ref="H55:H59"/>
    <mergeCell ref="C54:D54"/>
    <mergeCell ref="M54:M77"/>
    <mergeCell ref="N54:N77"/>
    <mergeCell ref="O54:O77"/>
    <mergeCell ref="P54:P77"/>
    <mergeCell ref="C60:D60"/>
    <mergeCell ref="C61:D61"/>
    <mergeCell ref="C65:D65"/>
    <mergeCell ref="B66:B68"/>
    <mergeCell ref="E66:E68"/>
    <mergeCell ref="H66:H68"/>
    <mergeCell ref="B62:B64"/>
    <mergeCell ref="E62:E64"/>
    <mergeCell ref="H62:H64"/>
    <mergeCell ref="C69:D69"/>
    <mergeCell ref="F69:F70"/>
    <mergeCell ref="C70:D70"/>
    <mergeCell ref="B71:B77"/>
    <mergeCell ref="E71:E77"/>
    <mergeCell ref="H71:H77"/>
    <mergeCell ref="B36:B38"/>
    <mergeCell ref="E36:E38"/>
    <mergeCell ref="H36:H38"/>
    <mergeCell ref="B33:B34"/>
    <mergeCell ref="E33:E34"/>
    <mergeCell ref="H33:H34"/>
    <mergeCell ref="C35:D35"/>
    <mergeCell ref="S47:Y47"/>
    <mergeCell ref="B48:B53"/>
    <mergeCell ref="E48:E53"/>
    <mergeCell ref="H48:H53"/>
    <mergeCell ref="S48:Y48"/>
    <mergeCell ref="S49:Y49"/>
    <mergeCell ref="S50:Y50"/>
    <mergeCell ref="S53:Y53"/>
    <mergeCell ref="S39:Y39"/>
    <mergeCell ref="B40:B46"/>
    <mergeCell ref="E40:E46"/>
    <mergeCell ref="H40:H46"/>
    <mergeCell ref="S40:Y40"/>
    <mergeCell ref="S41:Y41"/>
    <mergeCell ref="S42:Y42"/>
    <mergeCell ref="S43:Y43"/>
    <mergeCell ref="S44:Y44"/>
    <mergeCell ref="C32:D32"/>
    <mergeCell ref="S32:Y32"/>
    <mergeCell ref="S21:Y21"/>
    <mergeCell ref="B22:B31"/>
    <mergeCell ref="E22:E31"/>
    <mergeCell ref="H22:H31"/>
    <mergeCell ref="S22:Y22"/>
    <mergeCell ref="S23:Y23"/>
    <mergeCell ref="S24:Y24"/>
    <mergeCell ref="S25:Y25"/>
    <mergeCell ref="S26:Y26"/>
    <mergeCell ref="S27:Y27"/>
    <mergeCell ref="B17:B20"/>
    <mergeCell ref="E17:E20"/>
    <mergeCell ref="H17:H20"/>
    <mergeCell ref="S17:Y17"/>
    <mergeCell ref="S18:Y18"/>
    <mergeCell ref="S19:Y19"/>
    <mergeCell ref="S20:Y20"/>
    <mergeCell ref="S12:Y12"/>
    <mergeCell ref="B13:B15"/>
    <mergeCell ref="E13:E15"/>
    <mergeCell ref="H13:H15"/>
    <mergeCell ref="S13:Y13"/>
    <mergeCell ref="S14:Y14"/>
    <mergeCell ref="S15:Y15"/>
    <mergeCell ref="C12:D12"/>
    <mergeCell ref="M12:M53"/>
    <mergeCell ref="N12:N53"/>
    <mergeCell ref="O12:O53"/>
    <mergeCell ref="P12:P53"/>
    <mergeCell ref="Q12:Q207"/>
    <mergeCell ref="C16:D16"/>
    <mergeCell ref="C21:D21"/>
    <mergeCell ref="C39:D39"/>
    <mergeCell ref="S28:Y28"/>
    <mergeCell ref="L10:L11"/>
    <mergeCell ref="M10:N10"/>
    <mergeCell ref="O10:O11"/>
    <mergeCell ref="P10:P11"/>
    <mergeCell ref="Q10:Q11"/>
    <mergeCell ref="S10:Y10"/>
    <mergeCell ref="S11:Y11"/>
    <mergeCell ref="B8:Y8"/>
    <mergeCell ref="B10:B11"/>
    <mergeCell ref="C10:C11"/>
    <mergeCell ref="D10:D11"/>
    <mergeCell ref="E10:G10"/>
    <mergeCell ref="H10:H11"/>
    <mergeCell ref="I10:J10"/>
    <mergeCell ref="K10:K11"/>
    <mergeCell ref="O2:O3"/>
    <mergeCell ref="B3:C3"/>
    <mergeCell ref="D3:F3"/>
    <mergeCell ref="H3:I3"/>
    <mergeCell ref="B4:C4"/>
    <mergeCell ref="D4:F4"/>
    <mergeCell ref="H4:I4"/>
    <mergeCell ref="B6:C6"/>
    <mergeCell ref="D6:F6"/>
    <mergeCell ref="G6:J6"/>
    <mergeCell ref="B2:C2"/>
    <mergeCell ref="D2:F2"/>
    <mergeCell ref="H2:I2"/>
    <mergeCell ref="S231:Y231"/>
    <mergeCell ref="S230:Y230"/>
    <mergeCell ref="S229:Y229"/>
    <mergeCell ref="S228:Y228"/>
    <mergeCell ref="S227:Y227"/>
    <mergeCell ref="S226:Y226"/>
    <mergeCell ref="S225:Y225"/>
    <mergeCell ref="S224:Y224"/>
    <mergeCell ref="S223:Y223"/>
    <mergeCell ref="S222:Y222"/>
    <mergeCell ref="S221:Y221"/>
    <mergeCell ref="S220:Y220"/>
    <mergeCell ref="S219:Y219"/>
    <mergeCell ref="S218:Y218"/>
    <mergeCell ref="S217:Y217"/>
    <mergeCell ref="S216:Y216"/>
    <mergeCell ref="S215:Y215"/>
    <mergeCell ref="S214:Y214"/>
    <mergeCell ref="S213:Y213"/>
    <mergeCell ref="S212:Y212"/>
    <mergeCell ref="S211:Y211"/>
    <mergeCell ref="S210:Y210"/>
    <mergeCell ref="S209:Y209"/>
    <mergeCell ref="S207:Y207"/>
    <mergeCell ref="S206:Y206"/>
    <mergeCell ref="S205:Y205"/>
    <mergeCell ref="S204:Y204"/>
    <mergeCell ref="S163:Y163"/>
    <mergeCell ref="S162:Y162"/>
    <mergeCell ref="S161:Y161"/>
    <mergeCell ref="S155:Y155"/>
    <mergeCell ref="S154:Y154"/>
    <mergeCell ref="S153:Y153"/>
    <mergeCell ref="S152:Y152"/>
    <mergeCell ref="S140:Y140"/>
    <mergeCell ref="S139:Y139"/>
    <mergeCell ref="S134:Y134"/>
    <mergeCell ref="S132:Y132"/>
    <mergeCell ref="S131:Y131"/>
    <mergeCell ref="S130:Y130"/>
    <mergeCell ref="S129:Y129"/>
    <mergeCell ref="S115:Y115"/>
    <mergeCell ref="S114:Y114"/>
    <mergeCell ref="S113:Y113"/>
    <mergeCell ref="S112:Y112"/>
    <mergeCell ref="S122:Y122"/>
    <mergeCell ref="S123:Y123"/>
    <mergeCell ref="S124:Y124"/>
    <mergeCell ref="S125:Y125"/>
    <mergeCell ref="S126:Y126"/>
    <mergeCell ref="S127:Y127"/>
    <mergeCell ref="S111:Y111"/>
    <mergeCell ref="S110:Y110"/>
    <mergeCell ref="S109:Y109"/>
    <mergeCell ref="S108:Y108"/>
    <mergeCell ref="S107:Y107"/>
    <mergeCell ref="S106:Y106"/>
    <mergeCell ref="S105:Y105"/>
    <mergeCell ref="S104:Y104"/>
    <mergeCell ref="S103:Y103"/>
    <mergeCell ref="S102:Y102"/>
    <mergeCell ref="S101:Y101"/>
    <mergeCell ref="S100:Y100"/>
    <mergeCell ref="S99:Y99"/>
    <mergeCell ref="S98:Y98"/>
    <mergeCell ref="S97:Y97"/>
    <mergeCell ref="S96:Y96"/>
    <mergeCell ref="S84:Y84"/>
    <mergeCell ref="S83:Y83"/>
    <mergeCell ref="S89:Y89"/>
    <mergeCell ref="S90:Y90"/>
    <mergeCell ref="S91:Y91"/>
    <mergeCell ref="S92:Y92"/>
    <mergeCell ref="S93:Y93"/>
    <mergeCell ref="S95:Y95"/>
    <mergeCell ref="S82:Y82"/>
    <mergeCell ref="S81:Y81"/>
    <mergeCell ref="S80:Y80"/>
    <mergeCell ref="S79:Y79"/>
    <mergeCell ref="S78:Y78"/>
    <mergeCell ref="S85:Y85"/>
    <mergeCell ref="S86:Y86"/>
    <mergeCell ref="S87:Y87"/>
    <mergeCell ref="S88:Y88"/>
    <mergeCell ref="S75:Y75"/>
    <mergeCell ref="S73:Y73"/>
    <mergeCell ref="S72:Y72"/>
    <mergeCell ref="S71:Y71"/>
    <mergeCell ref="S66:Y66"/>
    <mergeCell ref="S65:Y65"/>
    <mergeCell ref="S61:Y61"/>
    <mergeCell ref="S60:Y60"/>
    <mergeCell ref="S59:Y59"/>
    <mergeCell ref="S67:Y67"/>
    <mergeCell ref="S68:Y68"/>
    <mergeCell ref="S62:Y62"/>
    <mergeCell ref="S63:Y63"/>
    <mergeCell ref="S64:Y64"/>
    <mergeCell ref="S69:Y69"/>
    <mergeCell ref="S70:Y70"/>
    <mergeCell ref="S34:Y34"/>
    <mergeCell ref="S33:Y33"/>
    <mergeCell ref="W6:Y6"/>
    <mergeCell ref="S6:U6"/>
    <mergeCell ref="S58:Y58"/>
    <mergeCell ref="S57:Y57"/>
    <mergeCell ref="S56:Y56"/>
    <mergeCell ref="S55:Y55"/>
    <mergeCell ref="S54:Y54"/>
    <mergeCell ref="S38:Y38"/>
    <mergeCell ref="S37:Y37"/>
    <mergeCell ref="S36:Y36"/>
    <mergeCell ref="S35:Y35"/>
    <mergeCell ref="S16:Y16"/>
    <mergeCell ref="S29:Y29"/>
    <mergeCell ref="S30:Y30"/>
    <mergeCell ref="S31:Y31"/>
    <mergeCell ref="S46:Y46"/>
  </mergeCells>
  <conditionalFormatting sqref="F104">
    <cfRule type="cellIs" dxfId="1" priority="2" operator="lessThan">
      <formula>5</formula>
    </cfRule>
  </conditionalFormatting>
  <conditionalFormatting sqref="F169">
    <cfRule type="cellIs" dxfId="0" priority="1" stopIfTrue="1" operator="lessThan">
      <formula>$G$169</formula>
    </cfRule>
  </conditionalFormatting>
  <dataValidations count="3">
    <dataValidation type="decimal" allowBlank="1" showInputMessage="1" showErrorMessage="1" sqref="F55:F59 F62:F64 F66:F68 F176:F181 F220:F221 F223:F227 F229:F231 F137:F140 F170:F173 F142:F150 F183:F192 F71:F77 F130:F134 F201:F203 F210:F218 F205:F206 F13:F15 F17:F20 F33:F34 F36:F38 F40:F46 F48:F53 F22:F31 F89:F95 F97:F102 F107:F111 F113:F115 F194:F199 F80:F87 F117:F128" xr:uid="{00000000-0002-0000-1100-000000000000}">
      <formula1>0</formula1>
      <formula2>G13</formula2>
    </dataValidation>
    <dataValidation type="decimal" allowBlank="1" showInputMessage="1" showErrorMessage="1" sqref="F104:F105 F169 F152:F167" xr:uid="{00000000-0002-0000-1100-000001000000}">
      <formula1>0</formula1>
      <formula2>50</formula2>
    </dataValidation>
    <dataValidation type="decimal" allowBlank="1" showInputMessage="1" showErrorMessage="1" sqref="E207 E204" xr:uid="{00000000-0002-0000-1100-000002000000}">
      <formula1>0</formula1>
      <formula2>100</formula2>
    </dataValidation>
  </dataValidations>
  <pageMargins left="0.7" right="0.7" top="0.75" bottom="0.75" header="0.3" footer="0.3"/>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7">
    <tabColor theme="0"/>
  </sheetPr>
  <dimension ref="A2:J213"/>
  <sheetViews>
    <sheetView workbookViewId="0">
      <selection activeCell="E43" sqref="E43"/>
    </sheetView>
  </sheetViews>
  <sheetFormatPr defaultRowHeight="14.25" x14ac:dyDescent="0.45"/>
  <cols>
    <col min="1" max="1" width="7.265625" customWidth="1"/>
    <col min="4" max="4" width="27.265625" customWidth="1"/>
    <col min="6" max="6" width="12" style="74" customWidth="1"/>
    <col min="7" max="7" width="10.73046875" style="558" customWidth="1"/>
    <col min="8" max="8" width="12" customWidth="1"/>
  </cols>
  <sheetData>
    <row r="2" spans="1:9" ht="28.5" x14ac:dyDescent="0.45">
      <c r="A2" s="924" t="s">
        <v>218</v>
      </c>
      <c r="B2" s="577"/>
      <c r="C2" s="577"/>
      <c r="D2" s="577"/>
      <c r="E2" s="583" t="s">
        <v>791</v>
      </c>
      <c r="F2" s="583" t="s">
        <v>872</v>
      </c>
      <c r="G2" s="584" t="s">
        <v>870</v>
      </c>
      <c r="H2" s="583" t="s">
        <v>871</v>
      </c>
      <c r="I2" s="583"/>
    </row>
    <row r="3" spans="1:9" x14ac:dyDescent="0.45">
      <c r="A3" s="924"/>
      <c r="B3" s="925" t="str">
        <f>'DGNB matrice'!B12</f>
        <v>PRO1.1</v>
      </c>
      <c r="C3" s="579" t="str">
        <f>'DGNB matrice'!C12</f>
        <v>Kvalitet i forberedelsen af projektet</v>
      </c>
      <c r="D3" s="577"/>
      <c r="E3" s="580">
        <f>'DGNB matrice'!G12</f>
        <v>100</v>
      </c>
      <c r="F3" s="577"/>
      <c r="G3" s="578">
        <f>'DGNB matrice'!L12</f>
        <v>1.6666666666666666E-2</v>
      </c>
      <c r="H3" s="581">
        <f>G3/$G$45</f>
        <v>0.16666666666666666</v>
      </c>
      <c r="I3" s="577"/>
    </row>
    <row r="4" spans="1:9" x14ac:dyDescent="0.45">
      <c r="A4" s="924"/>
      <c r="B4" s="925"/>
      <c r="C4" s="579" t="str">
        <f>'DGNB matrice'!C13</f>
        <v>1.</v>
      </c>
      <c r="D4" s="577" t="str">
        <f>'DGNB matrice'!D13</f>
        <v>Indledende rådgivning</v>
      </c>
      <c r="E4" s="580">
        <f>'DGNB matrice'!G13</f>
        <v>35</v>
      </c>
      <c r="F4" s="582">
        <f>E4/$E$3</f>
        <v>0.35</v>
      </c>
      <c r="G4" s="578"/>
      <c r="H4" s="581"/>
      <c r="I4" s="581">
        <f>F4*$G$3</f>
        <v>5.8333333333333327E-3</v>
      </c>
    </row>
    <row r="5" spans="1:9" x14ac:dyDescent="0.45">
      <c r="A5" s="924"/>
      <c r="B5" s="925"/>
      <c r="C5" s="579" t="str">
        <f>'DGNB matrice'!C14</f>
        <v>2.</v>
      </c>
      <c r="D5" s="577" t="str">
        <f>'DGNB matrice'!D14</f>
        <v>Bæredygtighedsmål for projektet</v>
      </c>
      <c r="E5" s="580">
        <f>'DGNB matrice'!G14</f>
        <v>35</v>
      </c>
      <c r="F5" s="582">
        <f t="shared" ref="F5:F6" si="0">E5/$E$3</f>
        <v>0.35</v>
      </c>
      <c r="G5" s="578"/>
      <c r="H5" s="581"/>
      <c r="I5" s="581">
        <f t="shared" ref="I5:I6" si="1">F5*$G$3</f>
        <v>5.8333333333333327E-3</v>
      </c>
    </row>
    <row r="6" spans="1:9" x14ac:dyDescent="0.45">
      <c r="A6" s="924"/>
      <c r="B6" s="925"/>
      <c r="C6" s="579" t="str">
        <f>'DGNB matrice'!C15</f>
        <v>3.</v>
      </c>
      <c r="D6" s="577" t="str">
        <f>'DGNB matrice'!D15</f>
        <v>Brugerens indflydelse på energiforbruget</v>
      </c>
      <c r="E6" s="580">
        <f>'DGNB matrice'!G15</f>
        <v>30</v>
      </c>
      <c r="F6" s="582">
        <f t="shared" si="0"/>
        <v>0.3</v>
      </c>
      <c r="G6" s="578"/>
      <c r="H6" s="581"/>
      <c r="I6" s="581">
        <f t="shared" si="1"/>
        <v>5.0000000000000001E-3</v>
      </c>
    </row>
    <row r="7" spans="1:9" x14ac:dyDescent="0.45">
      <c r="A7" s="924"/>
      <c r="B7" s="925" t="str">
        <f>'DGNB matrice'!B16</f>
        <v>PRO1.2</v>
      </c>
      <c r="C7" s="579" t="str">
        <f>'DGNB matrice'!C16</f>
        <v xml:space="preserve">Integreret design proces </v>
      </c>
      <c r="D7" s="577"/>
      <c r="E7" s="580">
        <f>'DGNB matrice'!G16</f>
        <v>100</v>
      </c>
      <c r="F7" s="577"/>
      <c r="G7" s="578">
        <f>'DGNB matrice'!L16</f>
        <v>1.6666666666666666E-2</v>
      </c>
      <c r="H7" s="581">
        <f>G7/$G$45</f>
        <v>0.16666666666666666</v>
      </c>
      <c r="I7" s="577"/>
    </row>
    <row r="8" spans="1:9" x14ac:dyDescent="0.45">
      <c r="A8" s="924"/>
      <c r="B8" s="925"/>
      <c r="C8" s="579" t="str">
        <f>'DGNB matrice'!C17</f>
        <v>1.</v>
      </c>
      <c r="D8" s="577" t="str">
        <f>'DGNB matrice'!D17</f>
        <v>Interdisciplinært designteam</v>
      </c>
      <c r="E8" s="580">
        <f>'DGNB matrice'!G17</f>
        <v>30</v>
      </c>
      <c r="F8" s="582">
        <f>E8/$E$7</f>
        <v>0.3</v>
      </c>
      <c r="G8" s="578"/>
      <c r="H8" s="581"/>
      <c r="I8" s="581">
        <f>F8*$G$7</f>
        <v>5.0000000000000001E-3</v>
      </c>
    </row>
    <row r="9" spans="1:9" x14ac:dyDescent="0.45">
      <c r="A9" s="924"/>
      <c r="B9" s="925"/>
      <c r="C9" s="579" t="str">
        <f>'DGNB matrice'!C18</f>
        <v>2.</v>
      </c>
      <c r="D9" s="577" t="str">
        <f>'DGNB matrice'!D18</f>
        <v>Brugerindflydelse</v>
      </c>
      <c r="E9" s="580">
        <f>'DGNB matrice'!G18</f>
        <v>30</v>
      </c>
      <c r="F9" s="582">
        <f t="shared" ref="F9:F11" si="2">E9/$E$7</f>
        <v>0.3</v>
      </c>
      <c r="G9" s="578"/>
      <c r="H9" s="581"/>
      <c r="I9" s="581">
        <f t="shared" ref="I9:I11" si="3">F9*$G$7</f>
        <v>5.0000000000000001E-3</v>
      </c>
    </row>
    <row r="10" spans="1:9" x14ac:dyDescent="0.45">
      <c r="A10" s="924"/>
      <c r="B10" s="925"/>
      <c r="C10" s="579" t="str">
        <f>'DGNB matrice'!C19</f>
        <v>3.</v>
      </c>
      <c r="D10" s="577" t="str">
        <f>'DGNB matrice'!D19</f>
        <v>Borgerdeltagelse</v>
      </c>
      <c r="E10" s="580">
        <f>'DGNB matrice'!G19</f>
        <v>10</v>
      </c>
      <c r="F10" s="582">
        <f t="shared" si="2"/>
        <v>0.1</v>
      </c>
      <c r="G10" s="578"/>
      <c r="H10" s="581"/>
      <c r="I10" s="581">
        <f t="shared" si="3"/>
        <v>1.6666666666666668E-3</v>
      </c>
    </row>
    <row r="11" spans="1:9" x14ac:dyDescent="0.45">
      <c r="A11" s="924"/>
      <c r="B11" s="925"/>
      <c r="C11" s="579" t="str">
        <f>'DGNB matrice'!C20</f>
        <v>4.</v>
      </c>
      <c r="D11" s="577" t="str">
        <f>'DGNB matrice'!D20</f>
        <v>Bæredygtighedsplan</v>
      </c>
      <c r="E11" s="580">
        <f>'DGNB matrice'!G20</f>
        <v>30</v>
      </c>
      <c r="F11" s="582">
        <f t="shared" si="2"/>
        <v>0.3</v>
      </c>
      <c r="G11" s="578"/>
      <c r="H11" s="581"/>
      <c r="I11" s="581">
        <f t="shared" si="3"/>
        <v>5.0000000000000001E-3</v>
      </c>
    </row>
    <row r="12" spans="1:9" x14ac:dyDescent="0.45">
      <c r="A12" s="924"/>
      <c r="B12" s="925" t="str">
        <f>'DGNB matrice'!B21</f>
        <v>PRO1.3</v>
      </c>
      <c r="C12" s="579" t="str">
        <f>'DGNB matrice'!C21</f>
        <v>Vurdering og optimering af kompleksitet i planlægningen</v>
      </c>
      <c r="D12" s="577"/>
      <c r="E12" s="580">
        <f>'DGNB matrice'!G21</f>
        <v>100</v>
      </c>
      <c r="F12" s="577"/>
      <c r="G12" s="578">
        <f>'DGNB matrice'!L21</f>
        <v>1.6666666666666666E-2</v>
      </c>
      <c r="H12" s="581">
        <f>G12/$G$45</f>
        <v>0.16666666666666666</v>
      </c>
      <c r="I12" s="577"/>
    </row>
    <row r="13" spans="1:9" x14ac:dyDescent="0.45">
      <c r="A13" s="924"/>
      <c r="B13" s="925"/>
      <c r="C13" s="579" t="str">
        <f>'DGNB matrice'!C22</f>
        <v>1.</v>
      </c>
      <c r="D13" s="577" t="str">
        <f>'DGNB matrice'!D22</f>
        <v>Energikoncept</v>
      </c>
      <c r="E13" s="580">
        <f>'DGNB matrice'!G22</f>
        <v>10</v>
      </c>
      <c r="F13" s="582">
        <f>E13/$E$12</f>
        <v>0.1</v>
      </c>
      <c r="G13" s="578"/>
      <c r="H13" s="581"/>
      <c r="I13" s="581">
        <f>F13*$G$12</f>
        <v>1.6666666666666668E-3</v>
      </c>
    </row>
    <row r="14" spans="1:9" x14ac:dyDescent="0.45">
      <c r="A14" s="924"/>
      <c r="B14" s="925"/>
      <c r="C14" s="579" t="str">
        <f>'DGNB matrice'!C23</f>
        <v>2.</v>
      </c>
      <c r="D14" s="577" t="str">
        <f>'DGNB matrice'!D23</f>
        <v>Vandkoncept</v>
      </c>
      <c r="E14" s="580">
        <f>'DGNB matrice'!G23</f>
        <v>10</v>
      </c>
      <c r="F14" s="582">
        <f t="shared" ref="F14:F22" si="4">E14/$E$12</f>
        <v>0.1</v>
      </c>
      <c r="G14" s="578"/>
      <c r="H14" s="581"/>
      <c r="I14" s="581">
        <f t="shared" ref="I14:I22" si="5">F14*$G$12</f>
        <v>1.6666666666666668E-3</v>
      </c>
    </row>
    <row r="15" spans="1:9" x14ac:dyDescent="0.45">
      <c r="A15" s="924"/>
      <c r="B15" s="925"/>
      <c r="C15" s="579" t="str">
        <f>'DGNB matrice'!C24</f>
        <v>3.</v>
      </c>
      <c r="D15" s="577" t="str">
        <f>'DGNB matrice'!D24</f>
        <v>Optimering af dagslys/kunstigt lys</v>
      </c>
      <c r="E15" s="580">
        <f>'DGNB matrice'!G24</f>
        <v>10</v>
      </c>
      <c r="F15" s="582">
        <f t="shared" si="4"/>
        <v>0.1</v>
      </c>
      <c r="G15" s="578"/>
      <c r="H15" s="581"/>
      <c r="I15" s="581">
        <f t="shared" si="5"/>
        <v>1.6666666666666668E-3</v>
      </c>
    </row>
    <row r="16" spans="1:9" x14ac:dyDescent="0.45">
      <c r="A16" s="924"/>
      <c r="B16" s="925"/>
      <c r="C16" s="579" t="str">
        <f>'DGNB matrice'!C25</f>
        <v>4.</v>
      </c>
      <c r="D16" s="577" t="str">
        <f>'DGNB matrice'!D25</f>
        <v>Affaldskoncept</v>
      </c>
      <c r="E16" s="580">
        <f>'DGNB matrice'!G25</f>
        <v>10</v>
      </c>
      <c r="F16" s="582">
        <f t="shared" si="4"/>
        <v>0.1</v>
      </c>
      <c r="G16" s="578"/>
      <c r="H16" s="581"/>
      <c r="I16" s="581">
        <f t="shared" si="5"/>
        <v>1.6666666666666668E-3</v>
      </c>
    </row>
    <row r="17" spans="1:9" x14ac:dyDescent="0.45">
      <c r="A17" s="924"/>
      <c r="B17" s="925"/>
      <c r="C17" s="579" t="str">
        <f>'DGNB matrice'!C26</f>
        <v>5.</v>
      </c>
      <c r="D17" s="577" t="str">
        <f>'DGNB matrice'!D26</f>
        <v>Målings- og overvågningskoncept</v>
      </c>
      <c r="E17" s="580">
        <f>'DGNB matrice'!G26</f>
        <v>10</v>
      </c>
      <c r="F17" s="582">
        <f t="shared" si="4"/>
        <v>0.1</v>
      </c>
      <c r="G17" s="578"/>
      <c r="H17" s="581"/>
      <c r="I17" s="581">
        <f t="shared" si="5"/>
        <v>1.6666666666666668E-3</v>
      </c>
    </row>
    <row r="18" spans="1:9" x14ac:dyDescent="0.45">
      <c r="A18" s="924"/>
      <c r="B18" s="925"/>
      <c r="C18" s="579" t="str">
        <f>'DGNB matrice'!C27</f>
        <v>6.</v>
      </c>
      <c r="D18" s="577" t="str">
        <f>'DGNB matrice'!D27</f>
        <v>Koncept til understøtning af bygningens fleksibilitet i forhold til ombygning, nedrivning og genanvendelse</v>
      </c>
      <c r="E18" s="580">
        <f>'DGNB matrice'!G27</f>
        <v>10</v>
      </c>
      <c r="F18" s="582">
        <f t="shared" si="4"/>
        <v>0.1</v>
      </c>
      <c r="G18" s="578"/>
      <c r="H18" s="581"/>
      <c r="I18" s="581">
        <f t="shared" si="5"/>
        <v>1.6666666666666668E-3</v>
      </c>
    </row>
    <row r="19" spans="1:9" x14ac:dyDescent="0.45">
      <c r="A19" s="924"/>
      <c r="B19" s="925"/>
      <c r="C19" s="579" t="str">
        <f>'DGNB matrice'!C28</f>
        <v>7.</v>
      </c>
      <c r="D19" s="577" t="str">
        <f>'DGNB matrice'!D28</f>
        <v>Koncept til sikring af bygningens rengørings- og vedligeholdelsesvenlighed</v>
      </c>
      <c r="E19" s="580">
        <f>'DGNB matrice'!G28</f>
        <v>10</v>
      </c>
      <c r="F19" s="582">
        <f t="shared" si="4"/>
        <v>0.1</v>
      </c>
      <c r="G19" s="578"/>
      <c r="H19" s="581"/>
      <c r="I19" s="581">
        <f t="shared" si="5"/>
        <v>1.6666666666666668E-3</v>
      </c>
    </row>
    <row r="20" spans="1:9" x14ac:dyDescent="0.45">
      <c r="A20" s="924"/>
      <c r="B20" s="925"/>
      <c r="C20" s="579" t="str">
        <f>'DGNB matrice'!C29</f>
        <v>8.</v>
      </c>
      <c r="D20" s="577" t="str">
        <f>'DGNB matrice'!D29</f>
        <v>Vurdering af alternative løsninger ved hjælp af livscyklusvurderinger, LCA</v>
      </c>
      <c r="E20" s="580">
        <f>'DGNB matrice'!G29</f>
        <v>10</v>
      </c>
      <c r="F20" s="582">
        <f t="shared" si="4"/>
        <v>0.1</v>
      </c>
      <c r="G20" s="578"/>
      <c r="H20" s="581"/>
      <c r="I20" s="581">
        <f t="shared" si="5"/>
        <v>1.6666666666666668E-3</v>
      </c>
    </row>
    <row r="21" spans="1:9" x14ac:dyDescent="0.45">
      <c r="A21" s="924"/>
      <c r="B21" s="925"/>
      <c r="C21" s="579" t="str">
        <f>'DGNB matrice'!C30</f>
        <v>9.</v>
      </c>
      <c r="D21" s="577" t="str">
        <f>'DGNB matrice'!D30</f>
        <v>Vurdering af alternative løsninger baseret på levetidsomkostninger, LCC</v>
      </c>
      <c r="E21" s="580">
        <f>'DGNB matrice'!G30</f>
        <v>10</v>
      </c>
      <c r="F21" s="582">
        <f t="shared" si="4"/>
        <v>0.1</v>
      </c>
      <c r="G21" s="578"/>
      <c r="H21" s="581"/>
      <c r="I21" s="581">
        <f t="shared" si="5"/>
        <v>1.6666666666666668E-3</v>
      </c>
    </row>
    <row r="22" spans="1:9" x14ac:dyDescent="0.45">
      <c r="A22" s="924"/>
      <c r="B22" s="925"/>
      <c r="C22" s="579" t="str">
        <f>'DGNB matrice'!C31</f>
        <v>10.</v>
      </c>
      <c r="D22" s="577" t="str">
        <f>'DGNB matrice'!D31</f>
        <v>Koncept for klimasikring</v>
      </c>
      <c r="E22" s="580">
        <f>'DGNB matrice'!G31</f>
        <v>10</v>
      </c>
      <c r="F22" s="582">
        <f t="shared" si="4"/>
        <v>0.1</v>
      </c>
      <c r="G22" s="578"/>
      <c r="H22" s="581"/>
      <c r="I22" s="581">
        <f t="shared" si="5"/>
        <v>1.6666666666666668E-3</v>
      </c>
    </row>
    <row r="23" spans="1:9" x14ac:dyDescent="0.45">
      <c r="A23" s="924"/>
      <c r="B23" s="925" t="str">
        <f>'DGNB matrice'!B32</f>
        <v>PRO1.4</v>
      </c>
      <c r="C23" s="579" t="str">
        <f>'DGNB matrice'!C32</f>
        <v>Sikring af bæredygtighedsaspekter i forbindelse med udbudsmateriale og ordretildeling</v>
      </c>
      <c r="D23" s="577"/>
      <c r="E23" s="580">
        <f>'DGNB matrice'!G32</f>
        <v>100</v>
      </c>
      <c r="F23" s="577"/>
      <c r="G23" s="578">
        <f>'DGNB matrice'!L32</f>
        <v>1.1111111111111112E-2</v>
      </c>
      <c r="H23" s="581">
        <f>G23/$G$45</f>
        <v>0.1111111111111111</v>
      </c>
      <c r="I23" s="577"/>
    </row>
    <row r="24" spans="1:9" x14ac:dyDescent="0.45">
      <c r="A24" s="924"/>
      <c r="B24" s="925"/>
      <c r="C24" s="579" t="str">
        <f>'DGNB matrice'!C33</f>
        <v>1.</v>
      </c>
      <c r="D24" s="577" t="str">
        <f>'DGNB matrice'!D33</f>
        <v>Integration af bæredygtighedsaspekter i udvælgelseskriterierne</v>
      </c>
      <c r="E24" s="580">
        <f>'DGNB matrice'!G33</f>
        <v>50</v>
      </c>
      <c r="F24" s="582">
        <f>E24/$E$23</f>
        <v>0.5</v>
      </c>
      <c r="G24" s="578"/>
      <c r="H24" s="581"/>
      <c r="I24" s="581">
        <f>F24*$G$23</f>
        <v>5.5555555555555558E-3</v>
      </c>
    </row>
    <row r="25" spans="1:9" x14ac:dyDescent="0.45">
      <c r="A25" s="924"/>
      <c r="B25" s="925"/>
      <c r="C25" s="579" t="str">
        <f>'DGNB matrice'!C34</f>
        <v>2.</v>
      </c>
      <c r="D25" s="577" t="str">
        <f>'DGNB matrice'!D34</f>
        <v>Integration af bæredygtighedsaspekter i tildelingskriterierne</v>
      </c>
      <c r="E25" s="580">
        <f>'DGNB matrice'!G34</f>
        <v>50</v>
      </c>
      <c r="F25" s="582">
        <f>E25/$E$23</f>
        <v>0.5</v>
      </c>
      <c r="G25" s="578"/>
      <c r="H25" s="581"/>
      <c r="I25" s="581">
        <f>F25*$G$23</f>
        <v>5.5555555555555558E-3</v>
      </c>
    </row>
    <row r="26" spans="1:9" x14ac:dyDescent="0.45">
      <c r="A26" s="924"/>
      <c r="B26" s="925" t="str">
        <f>'DGNB matrice'!B35</f>
        <v>PRO1.5</v>
      </c>
      <c r="C26" s="579" t="str">
        <f>'DGNB matrice'!C35</f>
        <v>Vejledning om vedligehold og brug af bygningen</v>
      </c>
      <c r="D26" s="577"/>
      <c r="E26" s="580">
        <f>'DGNB matrice'!G35</f>
        <v>100</v>
      </c>
      <c r="F26" s="577"/>
      <c r="G26" s="578">
        <f>'DGNB matrice'!L35</f>
        <v>1.1111111111111112E-2</v>
      </c>
      <c r="H26" s="581">
        <f>G26/$G$45</f>
        <v>0.1111111111111111</v>
      </c>
      <c r="I26" s="577"/>
    </row>
    <row r="27" spans="1:9" x14ac:dyDescent="0.45">
      <c r="A27" s="924"/>
      <c r="B27" s="925"/>
      <c r="C27" s="579" t="str">
        <f>'DGNB matrice'!C36</f>
        <v>1.</v>
      </c>
      <c r="D27" s="577" t="str">
        <f>'DGNB matrice'!D36</f>
        <v>Vejledning om vedligehold, inspektion og drift</v>
      </c>
      <c r="E27" s="580">
        <f>'DGNB matrice'!G36</f>
        <v>30</v>
      </c>
      <c r="F27" s="582">
        <f>E27/$E$26</f>
        <v>0.3</v>
      </c>
      <c r="G27" s="578"/>
      <c r="H27" s="581"/>
      <c r="I27" s="581">
        <f>F27*$G$26</f>
        <v>3.3333333333333335E-3</v>
      </c>
    </row>
    <row r="28" spans="1:9" x14ac:dyDescent="0.45">
      <c r="A28" s="924"/>
      <c r="B28" s="925"/>
      <c r="C28" s="579" t="str">
        <f>'DGNB matrice'!C37</f>
        <v>2.</v>
      </c>
      <c r="D28" s="577" t="str">
        <f>'DGNB matrice'!D37</f>
        <v>Opdatering af tegningsmateriale, skemaer, beregninger og anden dokumentation, som bygget</v>
      </c>
      <c r="E28" s="580">
        <f>'DGNB matrice'!G37</f>
        <v>30</v>
      </c>
      <c r="F28" s="582">
        <f t="shared" ref="F28:F29" si="6">E28/$E$26</f>
        <v>0.3</v>
      </c>
      <c r="G28" s="578"/>
      <c r="H28" s="581"/>
      <c r="I28" s="581">
        <f t="shared" ref="I28:I29" si="7">F28*$G$26</f>
        <v>3.3333333333333335E-3</v>
      </c>
    </row>
    <row r="29" spans="1:9" x14ac:dyDescent="0.45">
      <c r="A29" s="924"/>
      <c r="B29" s="925"/>
      <c r="C29" s="579" t="str">
        <f>'DGNB matrice'!C38</f>
        <v>3.</v>
      </c>
      <c r="D29" s="577" t="str">
        <f>'DGNB matrice'!D38</f>
        <v>Udfærdigelse af brugerhåndbogen</v>
      </c>
      <c r="E29" s="580">
        <f>'DGNB matrice'!G38</f>
        <v>40</v>
      </c>
      <c r="F29" s="582">
        <f t="shared" si="6"/>
        <v>0.4</v>
      </c>
      <c r="G29" s="578"/>
      <c r="H29" s="581"/>
      <c r="I29" s="581">
        <f t="shared" si="7"/>
        <v>4.4444444444444444E-3</v>
      </c>
    </row>
    <row r="30" spans="1:9" x14ac:dyDescent="0.45">
      <c r="A30" s="924"/>
      <c r="B30" s="925" t="str">
        <f>'DGNB matrice'!B39</f>
        <v>PRO2.1</v>
      </c>
      <c r="C30" s="579" t="str">
        <f>'DGNB matrice'!C39</f>
        <v>Byggeplads/Byggeproces</v>
      </c>
      <c r="D30" s="577"/>
      <c r="E30" s="580">
        <f>'DGNB matrice'!G39</f>
        <v>100</v>
      </c>
      <c r="F30" s="577"/>
      <c r="G30" s="578">
        <f>'DGNB matrice'!L39</f>
        <v>1.1111111111111112E-2</v>
      </c>
      <c r="H30" s="581">
        <f>G30/$G$45</f>
        <v>0.1111111111111111</v>
      </c>
      <c r="I30" s="577"/>
    </row>
    <row r="31" spans="1:9" x14ac:dyDescent="0.45">
      <c r="A31" s="924"/>
      <c r="B31" s="925"/>
      <c r="C31" s="579" t="str">
        <f>'DGNB matrice'!C40</f>
        <v>1.</v>
      </c>
      <c r="D31" s="577" t="str">
        <f>'DGNB matrice'!D40</f>
        <v xml:space="preserve">Minimering og sortering af affald på byggepladsen </v>
      </c>
      <c r="E31" s="580">
        <f>'DGNB matrice'!G40</f>
        <v>15</v>
      </c>
      <c r="F31" s="582">
        <f>E31/$E$30</f>
        <v>0.15</v>
      </c>
      <c r="G31" s="578"/>
      <c r="H31" s="581"/>
      <c r="I31" s="581">
        <f>F31*$G$30</f>
        <v>1.6666666666666668E-3</v>
      </c>
    </row>
    <row r="32" spans="1:9" x14ac:dyDescent="0.45">
      <c r="A32" s="924"/>
      <c r="B32" s="925"/>
      <c r="C32" s="579" t="str">
        <f>'DGNB matrice'!C41</f>
        <v>2.</v>
      </c>
      <c r="D32" s="577" t="str">
        <f>'DGNB matrice'!D41</f>
        <v>Lavt støj- og vibrationsniveau på byggepladsen</v>
      </c>
      <c r="E32" s="580">
        <f>'DGNB matrice'!G41</f>
        <v>15</v>
      </c>
      <c r="F32" s="582">
        <f t="shared" ref="F32:F37" si="8">E32/$E$30</f>
        <v>0.15</v>
      </c>
      <c r="G32" s="578"/>
      <c r="H32" s="581"/>
      <c r="I32" s="581">
        <f t="shared" ref="I32:I37" si="9">F32*$G$30</f>
        <v>1.6666666666666668E-3</v>
      </c>
    </row>
    <row r="33" spans="1:9" x14ac:dyDescent="0.45">
      <c r="A33" s="924"/>
      <c r="B33" s="925"/>
      <c r="C33" s="579" t="str">
        <f>'DGNB matrice'!C42</f>
        <v>3.</v>
      </c>
      <c r="D33" s="577" t="str">
        <f>'DGNB matrice'!D42</f>
        <v>Byggeplads med lavt støvniveau</v>
      </c>
      <c r="E33" s="580">
        <f>'DGNB matrice'!G42</f>
        <v>15</v>
      </c>
      <c r="F33" s="582">
        <f t="shared" si="8"/>
        <v>0.15</v>
      </c>
      <c r="G33" s="578"/>
      <c r="H33" s="581"/>
      <c r="I33" s="581">
        <f t="shared" si="9"/>
        <v>1.6666666666666668E-3</v>
      </c>
    </row>
    <row r="34" spans="1:9" x14ac:dyDescent="0.45">
      <c r="A34" s="924"/>
      <c r="B34" s="925"/>
      <c r="C34" s="579" t="str">
        <f>'DGNB matrice'!C43</f>
        <v>4.</v>
      </c>
      <c r="D34" s="577" t="str">
        <f>'DGNB matrice'!D43</f>
        <v>Miljøbeskyttelse på byggepladsen (miljøbeskyttelse af byggegrund)</v>
      </c>
      <c r="E34" s="580">
        <f>'DGNB matrice'!G43</f>
        <v>15</v>
      </c>
      <c r="F34" s="582">
        <f t="shared" si="8"/>
        <v>0.15</v>
      </c>
      <c r="G34" s="578"/>
      <c r="H34" s="581"/>
      <c r="I34" s="581">
        <f t="shared" si="9"/>
        <v>1.6666666666666668E-3</v>
      </c>
    </row>
    <row r="35" spans="1:9" x14ac:dyDescent="0.45">
      <c r="A35" s="924"/>
      <c r="B35" s="925"/>
      <c r="C35" s="579" t="str">
        <f>'DGNB matrice'!C44</f>
        <v>5.</v>
      </c>
      <c r="D35" s="577" t="str">
        <f>'DGNB matrice'!D44</f>
        <v>Energiforbrug på byggepladsen</v>
      </c>
      <c r="E35" s="580">
        <f>'DGNB matrice'!G44</f>
        <v>15</v>
      </c>
      <c r="F35" s="582">
        <f t="shared" si="8"/>
        <v>0.15</v>
      </c>
      <c r="G35" s="578"/>
      <c r="H35" s="581"/>
      <c r="I35" s="581">
        <f t="shared" si="9"/>
        <v>1.6666666666666668E-3</v>
      </c>
    </row>
    <row r="36" spans="1:9" x14ac:dyDescent="0.45">
      <c r="A36" s="924"/>
      <c r="B36" s="925"/>
      <c r="C36" s="579" t="str">
        <f>'DGNB matrice'!C45</f>
        <v>6.</v>
      </c>
      <c r="D36" s="577" t="str">
        <f>'DGNB matrice'!D45</f>
        <v>Naboinformation</v>
      </c>
      <c r="E36" s="580">
        <f>'DGNB matrice'!G45</f>
        <v>15</v>
      </c>
      <c r="F36" s="582">
        <f t="shared" si="8"/>
        <v>0.15</v>
      </c>
      <c r="G36" s="578"/>
      <c r="H36" s="581"/>
      <c r="I36" s="581">
        <f t="shared" si="9"/>
        <v>1.6666666666666668E-3</v>
      </c>
    </row>
    <row r="37" spans="1:9" x14ac:dyDescent="0.45">
      <c r="A37" s="924"/>
      <c r="B37" s="925"/>
      <c r="C37" s="579" t="str">
        <f>'DGNB matrice'!C46</f>
        <v xml:space="preserve">7. </v>
      </c>
      <c r="D37" s="577" t="str">
        <f>'DGNB matrice'!D46</f>
        <v>Byggeteknisk udførelse</v>
      </c>
      <c r="E37" s="580">
        <f>'DGNB matrice'!G46</f>
        <v>10</v>
      </c>
      <c r="F37" s="582">
        <f t="shared" si="8"/>
        <v>0.1</v>
      </c>
      <c r="G37" s="578"/>
      <c r="H37" s="581"/>
      <c r="I37" s="581">
        <f t="shared" si="9"/>
        <v>1.1111111111111111E-3</v>
      </c>
    </row>
    <row r="38" spans="1:9" x14ac:dyDescent="0.45">
      <c r="A38" s="924"/>
      <c r="B38" s="927" t="str">
        <f>'DGNB matrice'!B47</f>
        <v>PRO2.2</v>
      </c>
      <c r="C38" s="579" t="str">
        <f>'DGNB matrice'!C47</f>
        <v>Dokumentation af kvalitet i udførelsen</v>
      </c>
      <c r="D38" s="577"/>
      <c r="E38" s="580">
        <f>'DGNB matrice'!G47</f>
        <v>100</v>
      </c>
      <c r="F38" s="577"/>
      <c r="G38" s="578">
        <f>'DGNB matrice'!L47</f>
        <v>1.6666666666666666E-2</v>
      </c>
      <c r="H38" s="581">
        <f>G38/$G$45</f>
        <v>0.16666666666666666</v>
      </c>
      <c r="I38" s="577"/>
    </row>
    <row r="39" spans="1:9" x14ac:dyDescent="0.45">
      <c r="A39" s="924"/>
      <c r="B39" s="928"/>
      <c r="C39" s="579" t="str">
        <f>'DGNB matrice'!C48</f>
        <v>1.</v>
      </c>
      <c r="D39" s="577" t="str">
        <f>'DGNB matrice'!D48</f>
        <v>Dokumentation af de anvendte materialer og hjælpestoffer</v>
      </c>
      <c r="E39" s="580">
        <f>'DGNB matrice'!G48</f>
        <v>45</v>
      </c>
      <c r="F39" s="582">
        <f>E39/$E$38</f>
        <v>0.45</v>
      </c>
      <c r="G39" s="578"/>
      <c r="H39" s="581"/>
      <c r="I39" s="581">
        <f>F39*$G$38</f>
        <v>7.4999999999999997E-3</v>
      </c>
    </row>
    <row r="40" spans="1:9" x14ac:dyDescent="0.45">
      <c r="A40" s="924"/>
      <c r="B40" s="928"/>
      <c r="C40" s="579" t="str">
        <f>'DGNB matrice'!C49</f>
        <v>2.1</v>
      </c>
      <c r="D40" s="577" t="str">
        <f>'DGNB matrice'!D49</f>
        <v>Måling af lufttætheden og termografisk undersøgelse</v>
      </c>
      <c r="E40" s="580">
        <f>'DGNB matrice'!G49</f>
        <v>15</v>
      </c>
      <c r="F40" s="582">
        <f t="shared" ref="F40:F44" si="10">E40/$E$38</f>
        <v>0.15</v>
      </c>
      <c r="G40" s="578"/>
      <c r="H40" s="581"/>
      <c r="I40" s="581">
        <f t="shared" ref="I40:I44" si="11">F40*$G$38</f>
        <v>2.5000000000000001E-3</v>
      </c>
    </row>
    <row r="41" spans="1:9" x14ac:dyDescent="0.45">
      <c r="A41" s="924"/>
      <c r="B41" s="928"/>
      <c r="C41" s="579" t="str">
        <f>'DGNB matrice'!C50</f>
        <v>2.2</v>
      </c>
      <c r="D41" s="577" t="str">
        <f>'DGNB matrice'!D50</f>
        <v>Måling af lydisolering/støjbeskyttelse</v>
      </c>
      <c r="E41" s="580">
        <f>'DGNB matrice'!G50</f>
        <v>10</v>
      </c>
      <c r="F41" s="582">
        <f t="shared" si="10"/>
        <v>0.1</v>
      </c>
      <c r="G41" s="578"/>
      <c r="H41" s="581"/>
      <c r="I41" s="581">
        <f t="shared" si="11"/>
        <v>1.6666666666666668E-3</v>
      </c>
    </row>
    <row r="42" spans="1:9" x14ac:dyDescent="0.45">
      <c r="A42" s="924"/>
      <c r="B42" s="928"/>
      <c r="C42" s="579" t="str">
        <f>'DGNB matrice'!C51</f>
        <v>2.3</v>
      </c>
      <c r="D42" s="577" t="str">
        <f>'DGNB matrice'!D51</f>
        <v>Fugtindhold i byggematerialer</v>
      </c>
      <c r="E42" s="580">
        <f>'DGNB matrice'!G51</f>
        <v>15</v>
      </c>
      <c r="F42" s="582">
        <f t="shared" si="10"/>
        <v>0.15</v>
      </c>
      <c r="G42" s="578"/>
      <c r="H42" s="581"/>
      <c r="I42" s="581">
        <f t="shared" si="11"/>
        <v>2.5000000000000001E-3</v>
      </c>
    </row>
    <row r="43" spans="1:9" x14ac:dyDescent="0.45">
      <c r="A43" s="924"/>
      <c r="B43" s="928"/>
      <c r="C43" s="579" t="str">
        <f>'DGNB matrice'!C52</f>
        <v>2.4</v>
      </c>
      <c r="D43" s="577" t="str">
        <f>'DGNB matrice'!D52</f>
        <v>Kontrol af udførelse af kloak</v>
      </c>
      <c r="E43" s="580">
        <f>'DGNB matrice'!G52</f>
        <v>10</v>
      </c>
      <c r="F43" s="582">
        <f t="shared" si="10"/>
        <v>0.1</v>
      </c>
      <c r="G43" s="578"/>
      <c r="H43" s="581"/>
      <c r="I43" s="581">
        <f t="shared" si="11"/>
        <v>1.6666666666666668E-3</v>
      </c>
    </row>
    <row r="44" spans="1:9" ht="14.65" thickBot="1" x14ac:dyDescent="0.5">
      <c r="A44" s="924"/>
      <c r="B44" s="929"/>
      <c r="C44" s="591" t="str">
        <f>'DGNB matrice'!C53</f>
        <v>2.5</v>
      </c>
      <c r="D44" s="596" t="str">
        <f>'DGNB matrice'!D53</f>
        <v>Radonmåling</v>
      </c>
      <c r="E44" s="588">
        <f>'DGNB matrice'!G53</f>
        <v>5</v>
      </c>
      <c r="F44" s="589">
        <f t="shared" si="10"/>
        <v>0.05</v>
      </c>
      <c r="G44" s="590"/>
      <c r="H44" s="592"/>
      <c r="I44" s="592">
        <f t="shared" si="11"/>
        <v>8.3333333333333339E-4</v>
      </c>
    </row>
    <row r="45" spans="1:9" x14ac:dyDescent="0.45">
      <c r="A45" s="924"/>
      <c r="B45" s="593"/>
      <c r="C45" s="593"/>
      <c r="D45" s="594"/>
      <c r="E45" s="585"/>
      <c r="F45" s="594"/>
      <c r="G45" s="587">
        <f>SUM(G3:G44)</f>
        <v>0.1</v>
      </c>
      <c r="H45" s="595">
        <f>SUM(H3:H44)</f>
        <v>1.0000000000000002</v>
      </c>
      <c r="I45" s="595">
        <f>SUM(I3:I44)</f>
        <v>9.9999999999999936E-2</v>
      </c>
    </row>
    <row r="46" spans="1:9" x14ac:dyDescent="0.45">
      <c r="C46" s="557"/>
      <c r="E46" s="559"/>
    </row>
    <row r="47" spans="1:9" x14ac:dyDescent="0.45">
      <c r="A47" s="924" t="s">
        <v>214</v>
      </c>
      <c r="B47" s="577"/>
      <c r="C47" s="579"/>
      <c r="D47" s="577"/>
      <c r="E47" s="580" t="s">
        <v>791</v>
      </c>
      <c r="F47" s="577" t="s">
        <v>872</v>
      </c>
      <c r="G47" s="578" t="s">
        <v>870</v>
      </c>
      <c r="H47" s="577" t="s">
        <v>871</v>
      </c>
      <c r="I47" s="577"/>
    </row>
    <row r="48" spans="1:9" x14ac:dyDescent="0.45">
      <c r="A48" s="924"/>
      <c r="B48" s="579" t="str">
        <f>'DGNB matrice'!B54</f>
        <v>ENV1.1</v>
      </c>
      <c r="C48" s="579" t="str">
        <f>'DGNB matrice'!C54</f>
        <v>Livscyklusvurdering (LCA) - Miljøpåvirkninger</v>
      </c>
      <c r="D48" s="579"/>
      <c r="E48" s="580">
        <f>'DGNB matrice'!G54</f>
        <v>100</v>
      </c>
      <c r="F48" s="582">
        <f>E48/$E$48</f>
        <v>1</v>
      </c>
      <c r="G48" s="578">
        <f>'DGNB matrice'!L54</f>
        <v>7.8750000000000001E-2</v>
      </c>
      <c r="H48" s="581">
        <f>G48/$G$67</f>
        <v>0.35000000000000003</v>
      </c>
      <c r="I48" s="581">
        <f>F48*$G$48</f>
        <v>7.8750000000000001E-2</v>
      </c>
    </row>
    <row r="49" spans="1:10" x14ac:dyDescent="0.45">
      <c r="A49" s="924"/>
      <c r="B49" s="579" t="str">
        <f>'DGNB matrice'!B60</f>
        <v>ENV1.2</v>
      </c>
      <c r="C49" s="579" t="str">
        <f>'DGNB matrice'!C60</f>
        <v>Miljøricisi relateret til byggevarer</v>
      </c>
      <c r="D49" s="579"/>
      <c r="E49" s="580">
        <f>'DGNB matrice'!G60</f>
        <v>100</v>
      </c>
      <c r="F49" s="582">
        <f>E49/$E$49</f>
        <v>1</v>
      </c>
      <c r="G49" s="578">
        <f>'DGNB matrice'!L60</f>
        <v>3.3750000000000002E-2</v>
      </c>
      <c r="H49" s="581">
        <f>G49/$G$67</f>
        <v>0.15000000000000002</v>
      </c>
      <c r="I49" s="581">
        <f>F49*$G$49</f>
        <v>3.3750000000000002E-2</v>
      </c>
    </row>
    <row r="50" spans="1:10" x14ac:dyDescent="0.45">
      <c r="A50" s="924"/>
      <c r="B50" s="925" t="str">
        <f>'DGNB matrice'!B61</f>
        <v>ENV1.3</v>
      </c>
      <c r="C50" s="579" t="str">
        <f>'DGNB matrice'!C61</f>
        <v>Miljøvenlig indvinding af materialer</v>
      </c>
      <c r="D50" s="579"/>
      <c r="E50" s="580">
        <f>'DGNB matrice'!G61</f>
        <v>100</v>
      </c>
      <c r="F50" s="579"/>
      <c r="G50" s="578">
        <f>'DGNB matrice'!L61</f>
        <v>1.1250000000000001E-2</v>
      </c>
      <c r="H50" s="581">
        <f>G50/$G$67</f>
        <v>5.000000000000001E-2</v>
      </c>
      <c r="I50" s="581"/>
    </row>
    <row r="51" spans="1:10" x14ac:dyDescent="0.45">
      <c r="A51" s="924"/>
      <c r="B51" s="925"/>
      <c r="C51" s="579" t="str">
        <f>'DGNB matrice'!C62</f>
        <v>1.</v>
      </c>
      <c r="D51" s="579" t="str">
        <f>'DGNB matrice'!D62</f>
        <v>Anvendelse af træ og træmateriale</v>
      </c>
      <c r="E51" s="580">
        <f>'DGNB matrice'!G62</f>
        <v>45</v>
      </c>
      <c r="F51" s="582">
        <f>E51/$E$50</f>
        <v>0.45</v>
      </c>
      <c r="G51" s="578"/>
      <c r="H51" s="579"/>
      <c r="I51" s="581">
        <f>F51*$G$50</f>
        <v>5.062500000000001E-3</v>
      </c>
    </row>
    <row r="52" spans="1:10" x14ac:dyDescent="0.45">
      <c r="A52" s="924"/>
      <c r="B52" s="925"/>
      <c r="C52" s="579" t="str">
        <f>'DGNB matrice'!C63</f>
        <v>1.1</v>
      </c>
      <c r="D52" s="579" t="str">
        <f>'DGNB matrice'!D63</f>
        <v>Forskallingstræ</v>
      </c>
      <c r="E52" s="580">
        <f>'DGNB matrice'!G63</f>
        <v>5</v>
      </c>
      <c r="F52" s="582">
        <f>E52/$E$50</f>
        <v>0.05</v>
      </c>
      <c r="G52" s="578"/>
      <c r="H52" s="579"/>
      <c r="I52" s="581">
        <f t="shared" ref="I52:I53" si="12">F52*$G$50</f>
        <v>5.6250000000000007E-4</v>
      </c>
    </row>
    <row r="53" spans="1:10" x14ac:dyDescent="0.45">
      <c r="A53" s="924"/>
      <c r="B53" s="925"/>
      <c r="C53" s="579" t="str">
        <f>'DGNB matrice'!C64</f>
        <v>2.</v>
      </c>
      <c r="D53" s="579" t="str">
        <f>'DGNB matrice'!D64</f>
        <v>Anvendelse af natursten</v>
      </c>
      <c r="E53" s="580">
        <f>'DGNB matrice'!G64</f>
        <v>50</v>
      </c>
      <c r="F53" s="582">
        <f>E53/$E$50</f>
        <v>0.5</v>
      </c>
      <c r="G53" s="578"/>
      <c r="H53" s="579"/>
      <c r="I53" s="581">
        <f t="shared" si="12"/>
        <v>5.6250000000000007E-3</v>
      </c>
      <c r="J53" s="28"/>
    </row>
    <row r="54" spans="1:10" x14ac:dyDescent="0.45">
      <c r="A54" s="924"/>
      <c r="B54" s="925" t="str">
        <f>'DGNB matrice'!B65</f>
        <v>ENV2.1</v>
      </c>
      <c r="C54" s="579" t="str">
        <f>'DGNB matrice'!C65</f>
        <v>Livscyklusvurdering (LCA) - Primærenergi</v>
      </c>
      <c r="D54" s="579"/>
      <c r="E54" s="580">
        <f>E55+E56+E57</f>
        <v>250</v>
      </c>
      <c r="F54" s="582">
        <f>E54/$E$54</f>
        <v>1</v>
      </c>
      <c r="G54" s="578">
        <f>'DGNB matrice'!L65</f>
        <v>5.6250000000000001E-2</v>
      </c>
      <c r="H54" s="581">
        <f>G54/$G$67</f>
        <v>0.25000000000000006</v>
      </c>
      <c r="I54" s="581"/>
    </row>
    <row r="55" spans="1:10" s="74" customFormat="1" x14ac:dyDescent="0.45">
      <c r="A55" s="924"/>
      <c r="B55" s="925"/>
      <c r="C55" s="579" t="str">
        <f>'DGNB matrice'!C66</f>
        <v>1.</v>
      </c>
      <c r="D55" s="579"/>
      <c r="E55" s="580">
        <f>'DGNB matrice'!G66</f>
        <v>100</v>
      </c>
      <c r="F55" s="582">
        <f>E55/$E$54</f>
        <v>0.4</v>
      </c>
      <c r="G55" s="578"/>
      <c r="H55" s="581"/>
      <c r="I55" s="581">
        <f>$G$54*F55</f>
        <v>2.2500000000000003E-2</v>
      </c>
    </row>
    <row r="56" spans="1:10" s="74" customFormat="1" x14ac:dyDescent="0.45">
      <c r="A56" s="924"/>
      <c r="B56" s="925"/>
      <c r="C56" s="579" t="str">
        <f>'DGNB matrice'!C67</f>
        <v>2.</v>
      </c>
      <c r="D56" s="579"/>
      <c r="E56" s="580">
        <f>'DGNB matrice'!G67</f>
        <v>100</v>
      </c>
      <c r="F56" s="582">
        <f t="shared" ref="F56:F57" si="13">E56/$E$54</f>
        <v>0.4</v>
      </c>
      <c r="G56" s="578"/>
      <c r="H56" s="581"/>
      <c r="I56" s="581">
        <f t="shared" ref="I56:I57" si="14">$G$54*F56</f>
        <v>2.2500000000000003E-2</v>
      </c>
    </row>
    <row r="57" spans="1:10" s="74" customFormat="1" x14ac:dyDescent="0.45">
      <c r="A57" s="924"/>
      <c r="B57" s="925"/>
      <c r="C57" s="579" t="str">
        <f>'DGNB matrice'!C68</f>
        <v>3.</v>
      </c>
      <c r="D57" s="579"/>
      <c r="E57" s="580">
        <f>'DGNB matrice'!G68</f>
        <v>50</v>
      </c>
      <c r="F57" s="582">
        <f t="shared" si="13"/>
        <v>0.2</v>
      </c>
      <c r="G57" s="578"/>
      <c r="H57" s="581"/>
      <c r="I57" s="581">
        <f t="shared" si="14"/>
        <v>1.1250000000000001E-2</v>
      </c>
    </row>
    <row r="58" spans="1:10" x14ac:dyDescent="0.45">
      <c r="A58" s="924"/>
      <c r="B58" s="579" t="str">
        <f>'DGNB matrice'!B69</f>
        <v>ENV2.2</v>
      </c>
      <c r="C58" s="579" t="str">
        <f>'DGNB matrice'!C69</f>
        <v>Drikkevandsforbrug og spildevandsudledning</v>
      </c>
      <c r="D58" s="579"/>
      <c r="E58" s="580">
        <f>'DGNB matrice'!G69</f>
        <v>100</v>
      </c>
      <c r="F58" s="582">
        <f>E58/$E$58</f>
        <v>1</v>
      </c>
      <c r="G58" s="578">
        <f>'DGNB matrice'!L69</f>
        <v>2.2500000000000003E-2</v>
      </c>
      <c r="H58" s="581">
        <f>G58/$G$67</f>
        <v>0.10000000000000002</v>
      </c>
      <c r="I58" s="581">
        <f>F58*$G$58</f>
        <v>2.2500000000000003E-2</v>
      </c>
    </row>
    <row r="59" spans="1:10" x14ac:dyDescent="0.45">
      <c r="A59" s="924"/>
      <c r="B59" s="925" t="str">
        <f>'DGNB matrice'!B70</f>
        <v>ENV2.3</v>
      </c>
      <c r="C59" s="579" t="str">
        <f>'DGNB matrice'!C70</f>
        <v>Effektiv arealanvendelse</v>
      </c>
      <c r="D59" s="579"/>
      <c r="E59" s="580">
        <f>'DGNB matrice'!G70</f>
        <v>100</v>
      </c>
      <c r="F59" s="582"/>
      <c r="G59" s="578">
        <f>'DGNB matrice'!L70</f>
        <v>2.2500000000000003E-2</v>
      </c>
      <c r="H59" s="581">
        <f>G59/$G$67</f>
        <v>0.10000000000000002</v>
      </c>
      <c r="I59" s="581"/>
    </row>
    <row r="60" spans="1:10" x14ac:dyDescent="0.45">
      <c r="A60" s="924"/>
      <c r="B60" s="925"/>
      <c r="C60" s="579" t="str">
        <f>'DGNB matrice'!C71</f>
        <v>1.1</v>
      </c>
      <c r="D60" s="579" t="str">
        <f>'DGNB matrice'!D71</f>
        <v>Anvendelse af "genbrugsarealer" vs. anvendelse af ubebyggede arealer</v>
      </c>
      <c r="E60" s="580">
        <f>'DGNB matrice'!G71</f>
        <v>20</v>
      </c>
      <c r="F60" s="582">
        <f>E60/$E$59</f>
        <v>0.2</v>
      </c>
      <c r="G60" s="578"/>
      <c r="H60" s="579"/>
      <c r="I60" s="581">
        <f>F60*$G$59</f>
        <v>4.5000000000000005E-3</v>
      </c>
    </row>
    <row r="61" spans="1:10" x14ac:dyDescent="0.45">
      <c r="A61" s="924"/>
      <c r="B61" s="925"/>
      <c r="C61" s="579" t="str">
        <f>'DGNB matrice'!C72</f>
        <v>1.2</v>
      </c>
      <c r="D61" s="579" t="str">
        <f>'DGNB matrice'!D72</f>
        <v>Bebyggelsestæthed</v>
      </c>
      <c r="E61" s="580">
        <f>'DGNB matrice'!G72</f>
        <v>20</v>
      </c>
      <c r="F61" s="582">
        <f t="shared" ref="F61:F66" si="15">E61/$E$59</f>
        <v>0.2</v>
      </c>
      <c r="G61" s="578"/>
      <c r="H61" s="579"/>
      <c r="I61" s="581">
        <f t="shared" ref="I61:I66" si="16">F61*$G$59</f>
        <v>4.5000000000000005E-3</v>
      </c>
    </row>
    <row r="62" spans="1:10" x14ac:dyDescent="0.45">
      <c r="A62" s="924"/>
      <c r="B62" s="925"/>
      <c r="C62" s="579" t="str">
        <f>'DGNB matrice'!C73</f>
        <v>2.1</v>
      </c>
      <c r="D62" s="579" t="str">
        <f>'DGNB matrice'!D73</f>
        <v>Graden af jordforurening</v>
      </c>
      <c r="E62" s="580">
        <f>'DGNB matrice'!G73</f>
        <v>10</v>
      </c>
      <c r="F62" s="582">
        <f t="shared" si="15"/>
        <v>0.1</v>
      </c>
      <c r="G62" s="578"/>
      <c r="H62" s="579"/>
      <c r="I62" s="581">
        <f t="shared" si="16"/>
        <v>2.2500000000000003E-3</v>
      </c>
    </row>
    <row r="63" spans="1:10" x14ac:dyDescent="0.45">
      <c r="A63" s="924"/>
      <c r="B63" s="925"/>
      <c r="C63" s="579" t="str">
        <f>'DGNB matrice'!C74</f>
        <v>2.2</v>
      </c>
      <c r="D63" s="579" t="str">
        <f>'DGNB matrice'!D74</f>
        <v>Natur- og miljøforhold ved rensning</v>
      </c>
      <c r="E63" s="580">
        <f>'DGNB matrice'!G74</f>
        <v>5</v>
      </c>
      <c r="F63" s="582">
        <f t="shared" si="15"/>
        <v>0.05</v>
      </c>
      <c r="G63" s="578"/>
      <c r="H63" s="579"/>
      <c r="I63" s="581">
        <f t="shared" si="16"/>
        <v>1.1250000000000001E-3</v>
      </c>
    </row>
    <row r="64" spans="1:10" x14ac:dyDescent="0.45">
      <c r="A64" s="924"/>
      <c r="B64" s="925"/>
      <c r="C64" s="579" t="str">
        <f>'DGNB matrice'!C75</f>
        <v>2.3</v>
      </c>
      <c r="D64" s="579" t="str">
        <f>'DGNB matrice'!D75</f>
        <v>Grundens biofaktor</v>
      </c>
      <c r="E64" s="580">
        <f>'DGNB matrice'!G75</f>
        <v>15</v>
      </c>
      <c r="F64" s="582">
        <f t="shared" si="15"/>
        <v>0.15</v>
      </c>
      <c r="G64" s="578"/>
      <c r="H64" s="579"/>
      <c r="I64" s="581">
        <f t="shared" si="16"/>
        <v>3.3750000000000004E-3</v>
      </c>
    </row>
    <row r="65" spans="1:10" x14ac:dyDescent="0.45">
      <c r="A65" s="924"/>
      <c r="B65" s="925"/>
      <c r="C65" s="579" t="str">
        <f>'DGNB matrice'!C76</f>
        <v>2.4</v>
      </c>
      <c r="D65" s="579" t="str">
        <f>'DGNB matrice'!D76</f>
        <v>Bevaring af træer</v>
      </c>
      <c r="E65" s="580">
        <f>'DGNB matrice'!G76</f>
        <v>10</v>
      </c>
      <c r="F65" s="582">
        <f t="shared" si="15"/>
        <v>0.1</v>
      </c>
      <c r="G65" s="578"/>
      <c r="H65" s="579"/>
      <c r="I65" s="581">
        <f t="shared" si="16"/>
        <v>2.2500000000000003E-3</v>
      </c>
    </row>
    <row r="66" spans="1:10" ht="14.65" thickBot="1" x14ac:dyDescent="0.5">
      <c r="A66" s="924"/>
      <c r="B66" s="926"/>
      <c r="C66" s="591" t="str">
        <f>'DGNB matrice'!C77</f>
        <v>3.</v>
      </c>
      <c r="D66" s="591" t="str">
        <f>'DGNB matrice'!D77</f>
        <v>Jordbalance og jordhåndtering</v>
      </c>
      <c r="E66" s="588">
        <f>'DGNB matrice'!G77</f>
        <v>30</v>
      </c>
      <c r="F66" s="589">
        <f t="shared" si="15"/>
        <v>0.3</v>
      </c>
      <c r="G66" s="590"/>
      <c r="H66" s="591"/>
      <c r="I66" s="592">
        <f t="shared" si="16"/>
        <v>6.7500000000000008E-3</v>
      </c>
      <c r="J66" s="28"/>
    </row>
    <row r="67" spans="1:10" s="74" customFormat="1" x14ac:dyDescent="0.45">
      <c r="A67" s="924"/>
      <c r="B67" s="593"/>
      <c r="C67" s="593"/>
      <c r="D67" s="593"/>
      <c r="E67" s="585"/>
      <c r="F67" s="586"/>
      <c r="G67" s="587">
        <f>SUM(G48:G66)</f>
        <v>0.22499999999999998</v>
      </c>
      <c r="H67" s="587">
        <f>SUM(H48:H66)</f>
        <v>1</v>
      </c>
      <c r="I67" s="587">
        <f>SUM(I48:I66)</f>
        <v>0.22724999999999998</v>
      </c>
    </row>
    <row r="68" spans="1:10" s="74" customFormat="1" x14ac:dyDescent="0.45">
      <c r="B68" s="557"/>
      <c r="C68" s="557"/>
      <c r="D68" s="557"/>
      <c r="E68" s="559"/>
      <c r="F68" s="76"/>
      <c r="G68" s="558"/>
      <c r="H68" s="557"/>
    </row>
    <row r="69" spans="1:10" s="74" customFormat="1" x14ac:dyDescent="0.45">
      <c r="A69" s="924" t="s">
        <v>215</v>
      </c>
      <c r="B69" s="579"/>
      <c r="C69" s="579"/>
      <c r="D69" s="579"/>
      <c r="E69" s="580" t="s">
        <v>791</v>
      </c>
      <c r="F69" s="577" t="s">
        <v>872</v>
      </c>
      <c r="G69" s="578" t="s">
        <v>870</v>
      </c>
      <c r="H69" s="577" t="s">
        <v>871</v>
      </c>
      <c r="I69" s="577"/>
    </row>
    <row r="70" spans="1:10" x14ac:dyDescent="0.45">
      <c r="A70" s="924"/>
      <c r="B70" s="579" t="str">
        <f>'DGNB matrice'!B78</f>
        <v>ECO1.1</v>
      </c>
      <c r="C70" s="579" t="str">
        <f>'DGNB matrice'!C78</f>
        <v>Bygningsrelaterede levetidsomkostninger</v>
      </c>
      <c r="D70" s="579"/>
      <c r="E70" s="580">
        <f>'DGNB matrice'!G78</f>
        <v>100</v>
      </c>
      <c r="F70" s="582">
        <f>E70/$E$70</f>
        <v>1</v>
      </c>
      <c r="G70" s="578">
        <f>'DGNB matrice'!L78</f>
        <v>9.7826086956521743E-2</v>
      </c>
      <c r="H70" s="581">
        <f>G70/$G$88</f>
        <v>0.43478260869565211</v>
      </c>
      <c r="I70" s="581">
        <f>F70*$G$70</f>
        <v>9.7826086956521743E-2</v>
      </c>
    </row>
    <row r="71" spans="1:10" x14ac:dyDescent="0.45">
      <c r="A71" s="924"/>
      <c r="B71" s="925" t="str">
        <f>'DGNB matrice'!B79</f>
        <v>ECO2.1</v>
      </c>
      <c r="C71" s="579" t="str">
        <f>'DGNB matrice'!C79</f>
        <v>Fleksibilitet og omstillingsevne</v>
      </c>
      <c r="D71" s="579"/>
      <c r="E71" s="580">
        <f>'DGNB matrice'!G79</f>
        <v>95</v>
      </c>
      <c r="F71" s="582"/>
      <c r="G71" s="578">
        <f>'DGNB matrice'!L79</f>
        <v>6.1956521739130438E-2</v>
      </c>
      <c r="H71" s="581">
        <f>G71/$G$88</f>
        <v>0.27536231884057966</v>
      </c>
      <c r="I71" s="577"/>
    </row>
    <row r="72" spans="1:10" x14ac:dyDescent="0.45">
      <c r="A72" s="924"/>
      <c r="B72" s="925"/>
      <c r="C72" s="579" t="str">
        <f>'DGNB matrice'!C80</f>
        <v>1.</v>
      </c>
      <c r="D72" s="579" t="str">
        <f>'DGNB matrice'!D80</f>
        <v>Arealudnyttelse</v>
      </c>
      <c r="E72" s="580">
        <f>'DGNB matrice'!G80</f>
        <v>20</v>
      </c>
      <c r="F72" s="582">
        <f>E72/$E$71</f>
        <v>0.21052631578947367</v>
      </c>
      <c r="G72" s="578"/>
      <c r="H72" s="579"/>
      <c r="I72" s="581">
        <f>F72*$G$71</f>
        <v>1.3043478260869565E-2</v>
      </c>
    </row>
    <row r="73" spans="1:10" x14ac:dyDescent="0.45">
      <c r="A73" s="924"/>
      <c r="B73" s="925"/>
      <c r="C73" s="579" t="str">
        <f>'DGNB matrice'!C81</f>
        <v>2.</v>
      </c>
      <c r="D73" s="579" t="str">
        <f>'DGNB matrice'!D81</f>
        <v>Fri rumhøjde</v>
      </c>
      <c r="E73" s="580">
        <f>'DGNB matrice'!G81</f>
        <v>10</v>
      </c>
      <c r="F73" s="582">
        <f t="shared" ref="F73:F79" si="17">E73/$E$71</f>
        <v>0.10526315789473684</v>
      </c>
      <c r="G73" s="578"/>
      <c r="H73" s="579"/>
      <c r="I73" s="581">
        <f t="shared" ref="I73:I79" si="18">F73*$G$71</f>
        <v>6.5217391304347823E-3</v>
      </c>
    </row>
    <row r="74" spans="1:10" x14ac:dyDescent="0.45">
      <c r="A74" s="924"/>
      <c r="B74" s="925"/>
      <c r="C74" s="579" t="str">
        <f>'DGNB matrice'!C82</f>
        <v>3.</v>
      </c>
      <c r="D74" s="579" t="str">
        <f>'DGNB matrice'!D82</f>
        <v>Bygningsdybde</v>
      </c>
      <c r="E74" s="580">
        <f>'DGNB matrice'!G82</f>
        <v>15</v>
      </c>
      <c r="F74" s="582">
        <f t="shared" si="17"/>
        <v>0.15789473684210525</v>
      </c>
      <c r="G74" s="578"/>
      <c r="H74" s="579"/>
      <c r="I74" s="581">
        <f t="shared" si="18"/>
        <v>9.7826086956521747E-3</v>
      </c>
    </row>
    <row r="75" spans="1:10" x14ac:dyDescent="0.45">
      <c r="A75" s="924"/>
      <c r="B75" s="925"/>
      <c r="C75" s="579" t="str">
        <f>'DGNB matrice'!C83</f>
        <v>5.</v>
      </c>
      <c r="D75" s="579" t="str">
        <f>'DGNB matrice'!D83</f>
        <v>Fleksible planløsninger</v>
      </c>
      <c r="E75" s="580">
        <f>'DGNB matrice'!G83</f>
        <v>10</v>
      </c>
      <c r="F75" s="582">
        <f t="shared" si="17"/>
        <v>0.10526315789473684</v>
      </c>
      <c r="G75" s="578"/>
      <c r="H75" s="579"/>
      <c r="I75" s="581">
        <f t="shared" si="18"/>
        <v>6.5217391304347823E-3</v>
      </c>
    </row>
    <row r="76" spans="1:10" x14ac:dyDescent="0.45">
      <c r="A76" s="924"/>
      <c r="B76" s="925"/>
      <c r="C76" s="579" t="str">
        <f>'DGNB matrice'!C84</f>
        <v>6.</v>
      </c>
      <c r="D76" s="579" t="str">
        <f>'DGNB matrice'!D84</f>
        <v>Råhuset udformning og fleksibilitet</v>
      </c>
      <c r="E76" s="580">
        <f>'DGNB matrice'!G84</f>
        <v>10</v>
      </c>
      <c r="F76" s="582">
        <f t="shared" si="17"/>
        <v>0.10526315789473684</v>
      </c>
      <c r="G76" s="578"/>
      <c r="H76" s="579"/>
      <c r="I76" s="581">
        <f t="shared" si="18"/>
        <v>6.5217391304347823E-3</v>
      </c>
    </row>
    <row r="77" spans="1:10" x14ac:dyDescent="0.45">
      <c r="A77" s="924"/>
      <c r="B77" s="925"/>
      <c r="C77" s="579" t="str">
        <f>'DGNB matrice'!C85</f>
        <v>7.1</v>
      </c>
      <c r="D77" s="579" t="str">
        <f>'DGNB matrice'!D85</f>
        <v>Tekniske installationer, ventilation/klimateknik</v>
      </c>
      <c r="E77" s="580">
        <f>'DGNB matrice'!G85</f>
        <v>10</v>
      </c>
      <c r="F77" s="582">
        <f t="shared" si="17"/>
        <v>0.10526315789473684</v>
      </c>
      <c r="G77" s="578"/>
      <c r="H77" s="579"/>
      <c r="I77" s="581">
        <f t="shared" si="18"/>
        <v>6.5217391304347823E-3</v>
      </c>
    </row>
    <row r="78" spans="1:10" x14ac:dyDescent="0.45">
      <c r="A78" s="924"/>
      <c r="B78" s="925"/>
      <c r="C78" s="579" t="str">
        <f>'DGNB matrice'!C86</f>
        <v>7.2</v>
      </c>
      <c r="D78" s="579" t="str">
        <f>'DGNB matrice'!D86</f>
        <v>Tekniske installationer, køling</v>
      </c>
      <c r="E78" s="580">
        <f>'DGNB matrice'!G86</f>
        <v>10</v>
      </c>
      <c r="F78" s="582">
        <f t="shared" si="17"/>
        <v>0.10526315789473684</v>
      </c>
      <c r="G78" s="578"/>
      <c r="H78" s="579"/>
      <c r="I78" s="581">
        <f t="shared" si="18"/>
        <v>6.5217391304347823E-3</v>
      </c>
    </row>
    <row r="79" spans="1:10" x14ac:dyDescent="0.45">
      <c r="A79" s="924"/>
      <c r="B79" s="925"/>
      <c r="C79" s="579" t="str">
        <f>'DGNB matrice'!C87</f>
        <v>7.3</v>
      </c>
      <c r="D79" s="579" t="str">
        <f>'DGNB matrice'!D87</f>
        <v>Tekniske installationer, afløb</v>
      </c>
      <c r="E79" s="580">
        <f>'DGNB matrice'!G87</f>
        <v>10</v>
      </c>
      <c r="F79" s="582">
        <f t="shared" si="17"/>
        <v>0.10526315789473684</v>
      </c>
      <c r="G79" s="578"/>
      <c r="H79" s="579"/>
      <c r="I79" s="581">
        <f t="shared" si="18"/>
        <v>6.5217391304347823E-3</v>
      </c>
    </row>
    <row r="80" spans="1:10" x14ac:dyDescent="0.45">
      <c r="A80" s="924"/>
      <c r="B80" s="925" t="str">
        <f>'DGNB matrice'!B88</f>
        <v>ECO2.2</v>
      </c>
      <c r="C80" s="579" t="str">
        <f>'DGNB matrice'!C88</f>
        <v>Robusthed</v>
      </c>
      <c r="D80" s="579"/>
      <c r="E80" s="580">
        <f>'DGNB matrice'!G88</f>
        <v>100</v>
      </c>
      <c r="F80" s="582"/>
      <c r="G80" s="578">
        <f>'DGNB matrice'!L88</f>
        <v>6.5217391304347824E-2</v>
      </c>
      <c r="H80" s="581">
        <f>G80/$G$88</f>
        <v>0.28985507246376807</v>
      </c>
      <c r="I80" s="577"/>
    </row>
    <row r="81" spans="1:9" x14ac:dyDescent="0.45">
      <c r="A81" s="924"/>
      <c r="B81" s="925"/>
      <c r="C81" s="579" t="str">
        <f>'DGNB matrice'!C89</f>
        <v>1.1</v>
      </c>
      <c r="D81" s="579" t="str">
        <f>'DGNB matrice'!D89</f>
        <v>Levetid facade</v>
      </c>
      <c r="E81" s="580">
        <f>'DGNB matrice'!G89</f>
        <v>7.5</v>
      </c>
      <c r="F81" s="582">
        <f>E81/$E$80</f>
        <v>7.4999999999999997E-2</v>
      </c>
      <c r="G81" s="578"/>
      <c r="H81" s="579"/>
      <c r="I81" s="581">
        <f>F81*$G$80</f>
        <v>4.8913043478260865E-3</v>
      </c>
    </row>
    <row r="82" spans="1:9" x14ac:dyDescent="0.45">
      <c r="A82" s="924"/>
      <c r="B82" s="925"/>
      <c r="C82" s="579" t="str">
        <f>'DGNB matrice'!C90</f>
        <v>1.2</v>
      </c>
      <c r="D82" s="579" t="str">
        <f>'DGNB matrice'!D90</f>
        <v>Levetid tag</v>
      </c>
      <c r="E82" s="580">
        <f>'DGNB matrice'!G90</f>
        <v>7.5</v>
      </c>
      <c r="F82" s="582">
        <f t="shared" ref="F82:F87" si="19">E82/$E$80</f>
        <v>7.4999999999999997E-2</v>
      </c>
      <c r="G82" s="578"/>
      <c r="H82" s="579"/>
      <c r="I82" s="581">
        <f t="shared" ref="I82:I87" si="20">F82*$G$80</f>
        <v>4.8913043478260865E-3</v>
      </c>
    </row>
    <row r="83" spans="1:9" x14ac:dyDescent="0.45">
      <c r="A83" s="924"/>
      <c r="B83" s="925"/>
      <c r="C83" s="579" t="str">
        <f>'DGNB matrice'!C91</f>
        <v>1.3</v>
      </c>
      <c r="D83" s="579" t="str">
        <f>'DGNB matrice'!D91</f>
        <v>Levetid vinduer og yderdøre</v>
      </c>
      <c r="E83" s="580">
        <f>'DGNB matrice'!G91</f>
        <v>5</v>
      </c>
      <c r="F83" s="582">
        <f t="shared" si="19"/>
        <v>0.05</v>
      </c>
      <c r="G83" s="578"/>
      <c r="H83" s="579"/>
      <c r="I83" s="581">
        <f t="shared" si="20"/>
        <v>3.2608695652173916E-3</v>
      </c>
    </row>
    <row r="84" spans="1:9" x14ac:dyDescent="0.45">
      <c r="A84" s="924"/>
      <c r="B84" s="925"/>
      <c r="C84" s="579" t="str">
        <f>'DGNB matrice'!C92</f>
        <v>2.</v>
      </c>
      <c r="D84" s="579" t="str">
        <f>'DGNB matrice'!D92</f>
        <v>Robuste løsninger</v>
      </c>
      <c r="E84" s="580">
        <f>'DGNB matrice'!G92</f>
        <v>20</v>
      </c>
      <c r="F84" s="582">
        <f t="shared" si="19"/>
        <v>0.2</v>
      </c>
      <c r="G84" s="578"/>
      <c r="H84" s="579"/>
      <c r="I84" s="581">
        <f t="shared" si="20"/>
        <v>1.3043478260869566E-2</v>
      </c>
    </row>
    <row r="85" spans="1:9" x14ac:dyDescent="0.45">
      <c r="A85" s="924"/>
      <c r="B85" s="925"/>
      <c r="C85" s="579" t="str">
        <f>'DGNB matrice'!C93</f>
        <v>3.</v>
      </c>
      <c r="D85" s="579" t="str">
        <f>'DGNB matrice'!D93</f>
        <v>Passive designstrategier</v>
      </c>
      <c r="E85" s="580">
        <f>'DGNB matrice'!G93</f>
        <v>30</v>
      </c>
      <c r="F85" s="582">
        <f t="shared" si="19"/>
        <v>0.3</v>
      </c>
      <c r="G85" s="578"/>
      <c r="H85" s="579"/>
      <c r="I85" s="581">
        <f t="shared" si="20"/>
        <v>1.9565217391304346E-2</v>
      </c>
    </row>
    <row r="86" spans="1:9" x14ac:dyDescent="0.45">
      <c r="A86" s="924"/>
      <c r="B86" s="925"/>
      <c r="C86" s="579" t="str">
        <f>'DGNB matrice'!C94</f>
        <v>4.</v>
      </c>
      <c r="D86" s="579" t="str">
        <f>'DGNB matrice'!D94</f>
        <v>Kvalitet af lokalisering</v>
      </c>
      <c r="E86" s="580">
        <f>'DGNB matrice'!G94</f>
        <v>15</v>
      </c>
      <c r="F86" s="582">
        <f t="shared" si="19"/>
        <v>0.15</v>
      </c>
      <c r="G86" s="578"/>
      <c r="H86" s="579"/>
      <c r="I86" s="581">
        <f t="shared" si="20"/>
        <v>9.7826086956521729E-3</v>
      </c>
    </row>
    <row r="87" spans="1:9" ht="14.65" thickBot="1" x14ac:dyDescent="0.5">
      <c r="A87" s="924"/>
      <c r="B87" s="926"/>
      <c r="C87" s="591" t="str">
        <f>'DGNB matrice'!C95</f>
        <v>5.</v>
      </c>
      <c r="D87" s="591" t="str">
        <f>'DGNB matrice'!D95</f>
        <v>Blandet anvendelse</v>
      </c>
      <c r="E87" s="588">
        <f>'DGNB matrice'!G95</f>
        <v>15</v>
      </c>
      <c r="F87" s="589">
        <f t="shared" si="19"/>
        <v>0.15</v>
      </c>
      <c r="G87" s="590"/>
      <c r="H87" s="591"/>
      <c r="I87" s="592">
        <f t="shared" si="20"/>
        <v>9.7826086956521729E-3</v>
      </c>
    </row>
    <row r="88" spans="1:9" s="74" customFormat="1" x14ac:dyDescent="0.45">
      <c r="A88" s="924"/>
      <c r="B88" s="593"/>
      <c r="C88" s="593"/>
      <c r="D88" s="593"/>
      <c r="E88" s="585"/>
      <c r="F88" s="586"/>
      <c r="G88" s="587">
        <f>SUM(G70:G87)</f>
        <v>0.22500000000000003</v>
      </c>
      <c r="H88" s="587">
        <f>SUM(H70:H87)</f>
        <v>0.99999999999999978</v>
      </c>
      <c r="I88" s="587">
        <f>SUM(I70:I87)</f>
        <v>0.22499999999999998</v>
      </c>
    </row>
    <row r="89" spans="1:9" s="74" customFormat="1" x14ac:dyDescent="0.45">
      <c r="B89" s="557"/>
      <c r="C89" s="557"/>
      <c r="D89" s="557"/>
      <c r="E89" s="559"/>
      <c r="F89" s="76"/>
      <c r="G89" s="558"/>
      <c r="H89" s="557"/>
    </row>
    <row r="90" spans="1:9" s="74" customFormat="1" x14ac:dyDescent="0.45">
      <c r="A90" s="924" t="s">
        <v>216</v>
      </c>
      <c r="B90" s="579"/>
      <c r="C90" s="579"/>
      <c r="D90" s="579"/>
      <c r="E90" s="580" t="s">
        <v>791</v>
      </c>
      <c r="F90" s="577" t="s">
        <v>872</v>
      </c>
      <c r="G90" s="578" t="s">
        <v>870</v>
      </c>
      <c r="H90" s="577" t="s">
        <v>871</v>
      </c>
      <c r="I90" s="577"/>
    </row>
    <row r="91" spans="1:9" x14ac:dyDescent="0.45">
      <c r="A91" s="924"/>
      <c r="B91" s="925" t="str">
        <f>'DGNB matrice'!B96</f>
        <v>SOC1.1</v>
      </c>
      <c r="C91" s="579" t="str">
        <f>'DGNB matrice'!C96</f>
        <v>Termisk komfort</v>
      </c>
      <c r="D91" s="579"/>
      <c r="E91" s="580">
        <f>'DGNB matrice'!G96</f>
        <v>100</v>
      </c>
      <c r="F91" s="582"/>
      <c r="G91" s="578">
        <f>'DGNB matrice'!L96</f>
        <v>4.5180722891566265E-2</v>
      </c>
      <c r="H91" s="581">
        <f>G91/$G$163</f>
        <v>0.20080321285140559</v>
      </c>
      <c r="I91" s="577"/>
    </row>
    <row r="92" spans="1:9" x14ac:dyDescent="0.45">
      <c r="A92" s="924"/>
      <c r="B92" s="925"/>
      <c r="C92" s="579" t="str">
        <f>'DGNB matrice'!C97</f>
        <v>1.</v>
      </c>
      <c r="D92" s="579" t="str">
        <f>'DGNB matrice'!D97</f>
        <v>Operativ temperatur/vinterperiode (kvantitativ)</v>
      </c>
      <c r="E92" s="580">
        <f>'DGNB matrice'!G97</f>
        <v>30</v>
      </c>
      <c r="F92" s="582">
        <f t="shared" ref="F92:F97" si="21">E92/$E$91</f>
        <v>0.3</v>
      </c>
      <c r="G92" s="578"/>
      <c r="H92" s="579"/>
      <c r="I92" s="581">
        <f t="shared" ref="I92:I97" si="22">F92*$G$91</f>
        <v>1.355421686746988E-2</v>
      </c>
    </row>
    <row r="93" spans="1:9" x14ac:dyDescent="0.45">
      <c r="A93" s="924"/>
      <c r="B93" s="925"/>
      <c r="C93" s="579" t="str">
        <f>'DGNB matrice'!C98</f>
        <v>2.</v>
      </c>
      <c r="D93" s="579" t="str">
        <f>'DGNB matrice'!D98</f>
        <v>Træk/vinterperiode (kvalitativ)</v>
      </c>
      <c r="E93" s="580">
        <f>'DGNB matrice'!G98</f>
        <v>10</v>
      </c>
      <c r="F93" s="582">
        <f t="shared" si="21"/>
        <v>0.1</v>
      </c>
      <c r="G93" s="578"/>
      <c r="H93" s="579"/>
      <c r="I93" s="581">
        <f t="shared" si="22"/>
        <v>4.5180722891566263E-3</v>
      </c>
    </row>
    <row r="94" spans="1:9" x14ac:dyDescent="0.45">
      <c r="A94" s="924"/>
      <c r="B94" s="925"/>
      <c r="C94" s="579" t="str">
        <f>'DGNB matrice'!C99</f>
        <v>3.</v>
      </c>
      <c r="D94" s="579" t="str">
        <f>'DGNB matrice'!D99</f>
        <v>Asymmetrisk strålingstemperatur og gulvtemperatur/vinterperiode (kvalitativ)</v>
      </c>
      <c r="E94" s="580">
        <f>'DGNB matrice'!G99</f>
        <v>10</v>
      </c>
      <c r="F94" s="582">
        <f t="shared" si="21"/>
        <v>0.1</v>
      </c>
      <c r="G94" s="578"/>
      <c r="H94" s="579"/>
      <c r="I94" s="581">
        <f t="shared" si="22"/>
        <v>4.5180722891566263E-3</v>
      </c>
    </row>
    <row r="95" spans="1:9" x14ac:dyDescent="0.45">
      <c r="A95" s="924"/>
      <c r="B95" s="925"/>
      <c r="C95" s="579" t="str">
        <f>'DGNB matrice'!C100</f>
        <v>4.</v>
      </c>
      <c r="D95" s="579" t="str">
        <f>'DGNB matrice'!D100</f>
        <v xml:space="preserve">Operativ temperatur/sommerperiode (kvantitativ) </v>
      </c>
      <c r="E95" s="580">
        <f>'DGNB matrice'!G100</f>
        <v>30</v>
      </c>
      <c r="F95" s="582">
        <f t="shared" si="21"/>
        <v>0.3</v>
      </c>
      <c r="G95" s="578"/>
      <c r="H95" s="579"/>
      <c r="I95" s="581">
        <f t="shared" si="22"/>
        <v>1.355421686746988E-2</v>
      </c>
    </row>
    <row r="96" spans="1:9" x14ac:dyDescent="0.45">
      <c r="A96" s="924"/>
      <c r="B96" s="925"/>
      <c r="C96" s="579" t="str">
        <f>'DGNB matrice'!C101</f>
        <v>5.</v>
      </c>
      <c r="D96" s="579" t="str">
        <f>'DGNB matrice'!D101</f>
        <v>Træk/sommerperiode (kvalitativ)</v>
      </c>
      <c r="E96" s="580">
        <f>'DGNB matrice'!G101</f>
        <v>10</v>
      </c>
      <c r="F96" s="582">
        <f t="shared" si="21"/>
        <v>0.1</v>
      </c>
      <c r="G96" s="578"/>
      <c r="H96" s="579"/>
      <c r="I96" s="581">
        <f t="shared" si="22"/>
        <v>4.5180722891566263E-3</v>
      </c>
    </row>
    <row r="97" spans="1:9" x14ac:dyDescent="0.45">
      <c r="A97" s="924"/>
      <c r="B97" s="925"/>
      <c r="C97" s="579" t="str">
        <f>'DGNB matrice'!C102</f>
        <v>6.</v>
      </c>
      <c r="D97" s="579" t="str">
        <f>'DGNB matrice'!D102</f>
        <v>Asymmetrisk strålingstemperatur og gulvtemperatur/sommerperiode (kvalitativ)</v>
      </c>
      <c r="E97" s="580">
        <f>'DGNB matrice'!G102</f>
        <v>10</v>
      </c>
      <c r="F97" s="582">
        <f t="shared" si="21"/>
        <v>0.1</v>
      </c>
      <c r="G97" s="578"/>
      <c r="H97" s="579"/>
      <c r="I97" s="581">
        <f t="shared" si="22"/>
        <v>4.5180722891566263E-3</v>
      </c>
    </row>
    <row r="98" spans="1:9" x14ac:dyDescent="0.45">
      <c r="A98" s="924"/>
      <c r="B98" s="925" t="str">
        <f>'DGNB matrice'!B103</f>
        <v>SOC1.2</v>
      </c>
      <c r="C98" s="579" t="str">
        <f>'DGNB matrice'!C103</f>
        <v>Indendørs luftkvalitet</v>
      </c>
      <c r="D98" s="579"/>
      <c r="E98" s="580">
        <f>'DGNB matrice'!G103</f>
        <v>100</v>
      </c>
      <c r="F98" s="582"/>
      <c r="G98" s="578">
        <f>'DGNB matrice'!L103</f>
        <v>2.710843373493976E-2</v>
      </c>
      <c r="H98" s="581">
        <f>G98/$G$163</f>
        <v>0.12048192771084336</v>
      </c>
      <c r="I98" s="577"/>
    </row>
    <row r="99" spans="1:9" x14ac:dyDescent="0.45">
      <c r="A99" s="924"/>
      <c r="B99" s="925"/>
      <c r="C99" s="579" t="str">
        <f>'DGNB matrice'!C104</f>
        <v>1.</v>
      </c>
      <c r="D99" s="579" t="str">
        <f>'DGNB matrice'!D104</f>
        <v>Flygtige organiske forbindelser (VOC)</v>
      </c>
      <c r="E99" s="580">
        <f>'DGNB matrice'!G104</f>
        <v>50</v>
      </c>
      <c r="F99" s="582">
        <f>E99/$E$98</f>
        <v>0.5</v>
      </c>
      <c r="G99" s="578"/>
      <c r="H99" s="579"/>
      <c r="I99" s="581">
        <f>F99*$G$98</f>
        <v>1.355421686746988E-2</v>
      </c>
    </row>
    <row r="100" spans="1:9" x14ac:dyDescent="0.45">
      <c r="A100" s="924"/>
      <c r="B100" s="925"/>
      <c r="C100" s="579" t="str">
        <f>'DGNB matrice'!C105</f>
        <v>2.</v>
      </c>
      <c r="D100" s="579" t="str">
        <f>'DGNB matrice'!D105</f>
        <v>Ventilationsrate</v>
      </c>
      <c r="E100" s="580">
        <f>'DGNB matrice'!G105</f>
        <v>50</v>
      </c>
      <c r="F100" s="582">
        <f>E100/$E$98</f>
        <v>0.5</v>
      </c>
      <c r="G100" s="578"/>
      <c r="H100" s="579"/>
      <c r="I100" s="581">
        <f>F100*$G$98</f>
        <v>1.355421686746988E-2</v>
      </c>
    </row>
    <row r="101" spans="1:9" x14ac:dyDescent="0.45">
      <c r="A101" s="924"/>
      <c r="B101" s="925" t="str">
        <f>'DGNB matrice'!B106</f>
        <v>SOC1.4</v>
      </c>
      <c r="C101" s="579" t="str">
        <f>'DGNB matrice'!C106</f>
        <v>Visuel komfort</v>
      </c>
      <c r="D101" s="579"/>
      <c r="E101" s="580">
        <f>'DGNB matrice'!G106</f>
        <v>100</v>
      </c>
      <c r="F101" s="582"/>
      <c r="G101" s="578">
        <f>'DGNB matrice'!L106</f>
        <v>2.710843373493976E-2</v>
      </c>
      <c r="H101" s="581">
        <f>G101/$G$163</f>
        <v>0.12048192771084336</v>
      </c>
      <c r="I101" s="577"/>
    </row>
    <row r="102" spans="1:9" x14ac:dyDescent="0.45">
      <c r="A102" s="924"/>
      <c r="B102" s="925"/>
      <c r="C102" s="579" t="str">
        <f>'DGNB matrice'!C107</f>
        <v>1.</v>
      </c>
      <c r="D102" s="579" t="str">
        <f>'DGNB matrice'!D107</f>
        <v>Dagslys i bygningen</v>
      </c>
      <c r="E102" s="580">
        <f>'DGNB matrice'!G107</f>
        <v>10</v>
      </c>
      <c r="F102" s="582">
        <f>E102/$E$101</f>
        <v>0.1</v>
      </c>
      <c r="G102" s="578"/>
      <c r="H102" s="579"/>
      <c r="I102" s="581">
        <f>F102*$G$101</f>
        <v>2.7108433734939763E-3</v>
      </c>
    </row>
    <row r="103" spans="1:9" x14ac:dyDescent="0.45">
      <c r="A103" s="924"/>
      <c r="B103" s="925"/>
      <c r="C103" s="579" t="str">
        <f>'DGNB matrice'!C108</f>
        <v>2.</v>
      </c>
      <c r="D103" s="579" t="str">
        <f>'DGNB matrice'!D108</f>
        <v>Dagslys i boligen</v>
      </c>
      <c r="E103" s="580">
        <f>'DGNB matrice'!G108</f>
        <v>35</v>
      </c>
      <c r="F103" s="582">
        <f t="shared" ref="F103:F106" si="23">E103/$E$101</f>
        <v>0.35</v>
      </c>
      <c r="G103" s="578"/>
      <c r="H103" s="579"/>
      <c r="I103" s="581">
        <f t="shared" ref="I103:I106" si="24">F103*$G$101</f>
        <v>9.4879518072289153E-3</v>
      </c>
    </row>
    <row r="104" spans="1:9" x14ac:dyDescent="0.45">
      <c r="A104" s="924"/>
      <c r="B104" s="925"/>
      <c r="C104" s="579" t="str">
        <f>'DGNB matrice'!C109</f>
        <v>3.</v>
      </c>
      <c r="D104" s="579" t="str">
        <f>'DGNB matrice'!D109</f>
        <v>Udsyn</v>
      </c>
      <c r="E104" s="580">
        <f>'DGNB matrice'!G109</f>
        <v>15</v>
      </c>
      <c r="F104" s="582">
        <f t="shared" si="23"/>
        <v>0.15</v>
      </c>
      <c r="G104" s="578"/>
      <c r="H104" s="579"/>
      <c r="I104" s="581">
        <f t="shared" si="24"/>
        <v>4.0662650602409636E-3</v>
      </c>
    </row>
    <row r="105" spans="1:9" x14ac:dyDescent="0.45">
      <c r="A105" s="924"/>
      <c r="B105" s="925"/>
      <c r="C105" s="579" t="str">
        <f>'DGNB matrice'!C110</f>
        <v>7.</v>
      </c>
      <c r="D105" s="579" t="str">
        <f>'DGNB matrice'!D110</f>
        <v>Farvegengivelse</v>
      </c>
      <c r="E105" s="580">
        <f>'DGNB matrice'!G110</f>
        <v>15</v>
      </c>
      <c r="F105" s="582">
        <f t="shared" si="23"/>
        <v>0.15</v>
      </c>
      <c r="G105" s="578"/>
      <c r="H105" s="579"/>
      <c r="I105" s="581">
        <f t="shared" si="24"/>
        <v>4.0662650602409636E-3</v>
      </c>
    </row>
    <row r="106" spans="1:9" x14ac:dyDescent="0.45">
      <c r="A106" s="924"/>
      <c r="B106" s="925"/>
      <c r="C106" s="579" t="str">
        <f>'DGNB matrice'!C111</f>
        <v>8.</v>
      </c>
      <c r="D106" s="579" t="str">
        <f>'DGNB matrice'!D111</f>
        <v>Sollys</v>
      </c>
      <c r="E106" s="580">
        <f>'DGNB matrice'!G111</f>
        <v>25</v>
      </c>
      <c r="F106" s="582">
        <f t="shared" si="23"/>
        <v>0.25</v>
      </c>
      <c r="G106" s="578"/>
      <c r="H106" s="579"/>
      <c r="I106" s="581">
        <f t="shared" si="24"/>
        <v>6.7771084337349399E-3</v>
      </c>
    </row>
    <row r="107" spans="1:9" x14ac:dyDescent="0.45">
      <c r="A107" s="924"/>
      <c r="B107" s="925" t="str">
        <f>'DGNB matrice'!B112</f>
        <v>SOC1.5</v>
      </c>
      <c r="C107" s="579" t="str">
        <f>'DGNB matrice'!C112</f>
        <v>Brugernes muligheder for styring af indeklimaet</v>
      </c>
      <c r="D107" s="579"/>
      <c r="E107" s="580">
        <f>'DGNB matrice'!G112</f>
        <v>100</v>
      </c>
      <c r="F107" s="582"/>
      <c r="G107" s="578">
        <f>'DGNB matrice'!L112</f>
        <v>1.8072289156626505E-2</v>
      </c>
      <c r="H107" s="581">
        <f>G107/$G$163</f>
        <v>8.0321285140562235E-2</v>
      </c>
      <c r="I107" s="577"/>
    </row>
    <row r="108" spans="1:9" x14ac:dyDescent="0.45">
      <c r="A108" s="924"/>
      <c r="B108" s="925"/>
      <c r="C108" s="579" t="str">
        <f>'DGNB matrice'!C113</f>
        <v>1.</v>
      </c>
      <c r="D108" s="579" t="str">
        <f>'DGNB matrice'!D113</f>
        <v>Ventilation</v>
      </c>
      <c r="E108" s="580">
        <f>'DGNB matrice'!G113</f>
        <v>40</v>
      </c>
      <c r="F108" s="582">
        <f>E108/$E$107</f>
        <v>0.4</v>
      </c>
      <c r="G108" s="578"/>
      <c r="H108" s="579"/>
      <c r="I108" s="581">
        <f>F108*$G$107</f>
        <v>7.2289156626506026E-3</v>
      </c>
    </row>
    <row r="109" spans="1:9" x14ac:dyDescent="0.45">
      <c r="A109" s="924"/>
      <c r="B109" s="925"/>
      <c r="C109" s="579" t="str">
        <f>'DGNB matrice'!C114</f>
        <v>2.</v>
      </c>
      <c r="D109" s="579" t="str">
        <f>'DGNB matrice'!D114</f>
        <v>Solafskærmning (udvendig eller ml. ruder)</v>
      </c>
      <c r="E109" s="580">
        <f>'DGNB matrice'!G114</f>
        <v>40</v>
      </c>
      <c r="F109" s="582">
        <f t="shared" ref="F109:F110" si="25">E109/$E$107</f>
        <v>0.4</v>
      </c>
      <c r="G109" s="578"/>
      <c r="H109" s="579"/>
      <c r="I109" s="581">
        <f t="shared" ref="I109:I110" si="26">F109*$G$107</f>
        <v>7.2289156626506026E-3</v>
      </c>
    </row>
    <row r="110" spans="1:9" x14ac:dyDescent="0.45">
      <c r="A110" s="924"/>
      <c r="B110" s="925"/>
      <c r="C110" s="579" t="str">
        <f>'DGNB matrice'!C115</f>
        <v>5.</v>
      </c>
      <c r="D110" s="579" t="str">
        <f>'DGNB matrice'!D115</f>
        <v xml:space="preserve">Temperaturer i sommerperioden </v>
      </c>
      <c r="E110" s="580">
        <f>'DGNB matrice'!G115</f>
        <v>20</v>
      </c>
      <c r="F110" s="582">
        <f t="shared" si="25"/>
        <v>0.2</v>
      </c>
      <c r="G110" s="578"/>
      <c r="H110" s="579"/>
      <c r="I110" s="581">
        <f t="shared" si="26"/>
        <v>3.6144578313253013E-3</v>
      </c>
    </row>
    <row r="111" spans="1:9" x14ac:dyDescent="0.45">
      <c r="A111" s="924"/>
      <c r="B111" s="925" t="str">
        <f>'DGNB matrice'!B116</f>
        <v>SOC1.6</v>
      </c>
      <c r="C111" s="579" t="str">
        <f>'DGNB matrice'!C116</f>
        <v>Kvalitet af udearealer</v>
      </c>
      <c r="D111" s="579"/>
      <c r="E111" s="580">
        <f>'DGNB matrice'!G116</f>
        <v>95</v>
      </c>
      <c r="F111" s="582"/>
      <c r="G111" s="578">
        <f>'DGNB matrice'!L116</f>
        <v>1.7168674698795183E-2</v>
      </c>
      <c r="H111" s="581">
        <f>G111/$G$163</f>
        <v>7.6305220883534142E-2</v>
      </c>
      <c r="I111" s="577"/>
    </row>
    <row r="112" spans="1:9" x14ac:dyDescent="0.45">
      <c r="A112" s="924"/>
      <c r="B112" s="925"/>
      <c r="C112" s="579" t="str">
        <f>'DGNB matrice'!C117</f>
        <v>1.1</v>
      </c>
      <c r="D112" s="579" t="str">
        <f>'DGNB matrice'!D117</f>
        <v>Aktivering af tagflader</v>
      </c>
      <c r="E112" s="580">
        <f>'DGNB matrice'!G117</f>
        <v>7.5</v>
      </c>
      <c r="F112" s="582">
        <f>E112/$E$111</f>
        <v>7.8947368421052627E-2</v>
      </c>
      <c r="G112" s="578"/>
      <c r="H112" s="579"/>
      <c r="I112" s="581">
        <f>F112*$G$111</f>
        <v>1.3554216867469882E-3</v>
      </c>
    </row>
    <row r="113" spans="1:9" x14ac:dyDescent="0.45">
      <c r="A113" s="924"/>
      <c r="B113" s="925"/>
      <c r="C113" s="579" t="str">
        <f>'DGNB matrice'!C118</f>
        <v>1.2</v>
      </c>
      <c r="D113" s="579" t="str">
        <f>'DGNB matrice'!D118</f>
        <v>Tagbeplantningens type</v>
      </c>
      <c r="E113" s="580">
        <f>'DGNB matrice'!G118</f>
        <v>7.5</v>
      </c>
      <c r="F113" s="582">
        <f t="shared" ref="F113:F123" si="27">E113/$E$111</f>
        <v>7.8947368421052627E-2</v>
      </c>
      <c r="G113" s="578"/>
      <c r="H113" s="579"/>
      <c r="I113" s="581">
        <f t="shared" ref="I113:I123" si="28">F113*$G$111</f>
        <v>1.3554216867469882E-3</v>
      </c>
    </row>
    <row r="114" spans="1:9" x14ac:dyDescent="0.45">
      <c r="A114" s="924"/>
      <c r="B114" s="925"/>
      <c r="C114" s="579" t="str">
        <f>'DGNB matrice'!C119</f>
        <v>1.3</v>
      </c>
      <c r="D114" s="579" t="str">
        <f>'DGNB matrice'!D119</f>
        <v>Facadeintegrerede udearealer</v>
      </c>
      <c r="E114" s="580">
        <f>'DGNB matrice'!G119</f>
        <v>5</v>
      </c>
      <c r="F114" s="582">
        <f t="shared" si="27"/>
        <v>5.2631578947368418E-2</v>
      </c>
      <c r="G114" s="578"/>
      <c r="H114" s="579"/>
      <c r="I114" s="581">
        <f t="shared" si="28"/>
        <v>9.0361445783132543E-4</v>
      </c>
    </row>
    <row r="115" spans="1:9" x14ac:dyDescent="0.45">
      <c r="A115" s="924"/>
      <c r="B115" s="925"/>
      <c r="C115" s="579" t="str">
        <f>'DGNB matrice'!C120</f>
        <v>1.5</v>
      </c>
      <c r="D115" s="579" t="str">
        <f>'DGNB matrice'!D120</f>
        <v>Særlige arealer i stueetagen</v>
      </c>
      <c r="E115" s="580">
        <f>'DGNB matrice'!G120</f>
        <v>5</v>
      </c>
      <c r="F115" s="582">
        <f t="shared" si="27"/>
        <v>5.2631578947368418E-2</v>
      </c>
      <c r="G115" s="578"/>
      <c r="H115" s="579"/>
      <c r="I115" s="581">
        <f t="shared" si="28"/>
        <v>9.0361445783132543E-4</v>
      </c>
    </row>
    <row r="116" spans="1:9" x14ac:dyDescent="0.45">
      <c r="A116" s="924"/>
      <c r="B116" s="925"/>
      <c r="C116" s="579" t="str">
        <f>'DGNB matrice'!C121</f>
        <v>1.6</v>
      </c>
      <c r="D116" s="579" t="str">
        <f>'DGNB matrice'!D121</f>
        <v>Beplantning på facader</v>
      </c>
      <c r="E116" s="580">
        <f>'DGNB matrice'!G121</f>
        <v>5</v>
      </c>
      <c r="F116" s="582">
        <f t="shared" si="27"/>
        <v>5.2631578947368418E-2</v>
      </c>
      <c r="G116" s="578"/>
      <c r="H116" s="579"/>
      <c r="I116" s="581">
        <f t="shared" si="28"/>
        <v>9.0361445783132543E-4</v>
      </c>
    </row>
    <row r="117" spans="1:9" x14ac:dyDescent="0.45">
      <c r="A117" s="924"/>
      <c r="B117" s="925"/>
      <c r="C117" s="579" t="str">
        <f>'DGNB matrice'!C122</f>
        <v>1.7</v>
      </c>
      <c r="D117" s="579" t="str">
        <f>'DGNB matrice'!D122</f>
        <v>Orientering af bygningsrelaterede friarealer, tag- og facadearealer i forhold til verdenshjørner</v>
      </c>
      <c r="E117" s="580">
        <f>'DGNB matrice'!G122</f>
        <v>5</v>
      </c>
      <c r="F117" s="582">
        <f t="shared" si="27"/>
        <v>5.2631578947368418E-2</v>
      </c>
      <c r="G117" s="578"/>
      <c r="H117" s="579"/>
      <c r="I117" s="581">
        <f t="shared" si="28"/>
        <v>9.0361445783132543E-4</v>
      </c>
    </row>
    <row r="118" spans="1:9" x14ac:dyDescent="0.45">
      <c r="A118" s="924"/>
      <c r="B118" s="925"/>
      <c r="C118" s="579" t="str">
        <f>'DGNB matrice'!C123</f>
        <v>2.2</v>
      </c>
      <c r="D118" s="579" t="str">
        <f>'DGNB matrice'!D123</f>
        <v>Designkoncept for udendørs anlæg</v>
      </c>
      <c r="E118" s="580">
        <f>'DGNB matrice'!G123</f>
        <v>10</v>
      </c>
      <c r="F118" s="582">
        <f t="shared" si="27"/>
        <v>0.10526315789473684</v>
      </c>
      <c r="G118" s="578"/>
      <c r="H118" s="579"/>
      <c r="I118" s="581">
        <f t="shared" si="28"/>
        <v>1.8072289156626509E-3</v>
      </c>
    </row>
    <row r="119" spans="1:9" x14ac:dyDescent="0.45">
      <c r="A119" s="924"/>
      <c r="B119" s="925"/>
      <c r="C119" s="579" t="str">
        <f>'DGNB matrice'!C124</f>
        <v>2.3</v>
      </c>
      <c r="D119" s="579" t="str">
        <f>'DGNB matrice'!D124</f>
        <v>Beplantningstype på terræn, tag og facade</v>
      </c>
      <c r="E119" s="580">
        <f>'DGNB matrice'!G124</f>
        <v>5</v>
      </c>
      <c r="F119" s="582">
        <f t="shared" si="27"/>
        <v>5.2631578947368418E-2</v>
      </c>
      <c r="G119" s="578"/>
      <c r="H119" s="579"/>
      <c r="I119" s="581">
        <f t="shared" si="28"/>
        <v>9.0361445783132543E-4</v>
      </c>
    </row>
    <row r="120" spans="1:9" x14ac:dyDescent="0.45">
      <c r="A120" s="924"/>
      <c r="B120" s="925"/>
      <c r="C120" s="579" t="str">
        <f>'DGNB matrice'!C125</f>
        <v>2.4</v>
      </c>
      <c r="D120" s="579" t="str">
        <f>'DGNB matrice'!D125</f>
        <v>Driftsaftale eller plejeplan for beplantningen</v>
      </c>
      <c r="E120" s="580">
        <f>'DGNB matrice'!G125</f>
        <v>10</v>
      </c>
      <c r="F120" s="582">
        <f t="shared" si="27"/>
        <v>0.10526315789473684</v>
      </c>
      <c r="G120" s="578"/>
      <c r="H120" s="579"/>
      <c r="I120" s="581">
        <f t="shared" si="28"/>
        <v>1.8072289156626509E-3</v>
      </c>
    </row>
    <row r="121" spans="1:9" x14ac:dyDescent="0.45">
      <c r="A121" s="924"/>
      <c r="B121" s="925"/>
      <c r="C121" s="579" t="str">
        <f>'DGNB matrice'!C126</f>
        <v>2.5</v>
      </c>
      <c r="D121" s="579" t="str">
        <f>'DGNB matrice'!D126</f>
        <v>Social anvendelse af udearealer</v>
      </c>
      <c r="E121" s="580">
        <f>'DGNB matrice'!G126</f>
        <v>5</v>
      </c>
      <c r="F121" s="582">
        <f t="shared" si="27"/>
        <v>5.2631578947368418E-2</v>
      </c>
      <c r="G121" s="578"/>
      <c r="H121" s="579"/>
      <c r="I121" s="581">
        <f t="shared" si="28"/>
        <v>9.0361445783132543E-4</v>
      </c>
    </row>
    <row r="122" spans="1:9" x14ac:dyDescent="0.45">
      <c r="A122" s="924"/>
      <c r="B122" s="925"/>
      <c r="C122" s="579" t="str">
        <f>'DGNB matrice'!C127</f>
        <v>2.6</v>
      </c>
      <c r="D122" s="579" t="str">
        <f>'DGNB matrice'!D127</f>
        <v>Koncept for forbedringer af mikroklimaet</v>
      </c>
      <c r="E122" s="580">
        <f>'DGNB matrice'!G127</f>
        <v>15</v>
      </c>
      <c r="F122" s="582">
        <f t="shared" si="27"/>
        <v>0.15789473684210525</v>
      </c>
      <c r="G122" s="578"/>
      <c r="H122" s="579"/>
      <c r="I122" s="581">
        <f t="shared" si="28"/>
        <v>2.7108433734939763E-3</v>
      </c>
    </row>
    <row r="123" spans="1:9" x14ac:dyDescent="0.45">
      <c r="A123" s="924"/>
      <c r="B123" s="925"/>
      <c r="C123" s="579" t="str">
        <f>'DGNB matrice'!C128</f>
        <v>2.8</v>
      </c>
      <c r="D123" s="579" t="str">
        <f>'DGNB matrice'!D128</f>
        <v>Kendetegn ved udearealernes indretningselementer</v>
      </c>
      <c r="E123" s="580">
        <f>'DGNB matrice'!G128</f>
        <v>15</v>
      </c>
      <c r="F123" s="582">
        <f t="shared" si="27"/>
        <v>0.15789473684210525</v>
      </c>
      <c r="G123" s="578"/>
      <c r="H123" s="579"/>
      <c r="I123" s="581">
        <f t="shared" si="28"/>
        <v>2.7108433734939763E-3</v>
      </c>
    </row>
    <row r="124" spans="1:9" x14ac:dyDescent="0.45">
      <c r="A124" s="924"/>
      <c r="B124" s="925" t="str">
        <f>'DGNB matrice'!B129</f>
        <v>SOC1.7</v>
      </c>
      <c r="C124" s="579" t="str">
        <f>'DGNB matrice'!C129</f>
        <v>Tryghed og sikkerhed</v>
      </c>
      <c r="D124" s="579"/>
      <c r="E124" s="580">
        <f>'DGNB matrice'!G129</f>
        <v>100</v>
      </c>
      <c r="F124" s="582"/>
      <c r="G124" s="578">
        <f>'DGNB matrice'!L129</f>
        <v>9.0361445783132526E-3</v>
      </c>
      <c r="H124" s="581">
        <f>G124/$G$163</f>
        <v>4.0160642570281117E-2</v>
      </c>
      <c r="I124" s="577"/>
    </row>
    <row r="125" spans="1:9" x14ac:dyDescent="0.45">
      <c r="A125" s="924"/>
      <c r="B125" s="925"/>
      <c r="C125" s="579" t="str">
        <f>'DGNB matrice'!C130</f>
        <v>1.1</v>
      </c>
      <c r="D125" s="579" t="str">
        <f>'DGNB matrice'!D130</f>
        <v>Overskuelige veje og parkeringspladser</v>
      </c>
      <c r="E125" s="580">
        <f>'DGNB matrice'!G130</f>
        <v>20</v>
      </c>
      <c r="F125" s="582">
        <f>E125/$E$124</f>
        <v>0.2</v>
      </c>
      <c r="G125" s="578"/>
      <c r="H125" s="579"/>
      <c r="I125" s="581">
        <f>F125*$G$124</f>
        <v>1.8072289156626507E-3</v>
      </c>
    </row>
    <row r="126" spans="1:9" x14ac:dyDescent="0.45">
      <c r="A126" s="924"/>
      <c r="B126" s="925"/>
      <c r="C126" s="579" t="str">
        <f>'DGNB matrice'!C131</f>
        <v>1.2</v>
      </c>
      <c r="D126" s="579" t="str">
        <f>'DGNB matrice'!D131</f>
        <v>Vejbelysning af adgangsveje og parkering</v>
      </c>
      <c r="E126" s="580">
        <f>'DGNB matrice'!G131</f>
        <v>20</v>
      </c>
      <c r="F126" s="582">
        <f t="shared" ref="F126:F129" si="29">E126/$E$124</f>
        <v>0.2</v>
      </c>
      <c r="G126" s="578"/>
      <c r="H126" s="579"/>
      <c r="I126" s="581">
        <f t="shared" ref="I126:I129" si="30">F126*$G$124</f>
        <v>1.8072289156626507E-3</v>
      </c>
    </row>
    <row r="127" spans="1:9" x14ac:dyDescent="0.45">
      <c r="A127" s="924"/>
      <c r="B127" s="925"/>
      <c r="C127" s="579" t="str">
        <f>'DGNB matrice'!C132</f>
        <v>1.3</v>
      </c>
      <c r="D127" s="579" t="str">
        <f>'DGNB matrice'!D132</f>
        <v>Adgangsveje til cykelparkeringspladser</v>
      </c>
      <c r="E127" s="580">
        <f>'DGNB matrice'!G132</f>
        <v>20</v>
      </c>
      <c r="F127" s="582">
        <f t="shared" si="29"/>
        <v>0.2</v>
      </c>
      <c r="G127" s="578"/>
      <c r="H127" s="579"/>
      <c r="I127" s="581">
        <f t="shared" si="30"/>
        <v>1.8072289156626507E-3</v>
      </c>
    </row>
    <row r="128" spans="1:9" x14ac:dyDescent="0.45">
      <c r="A128" s="924"/>
      <c r="B128" s="925"/>
      <c r="C128" s="579" t="str">
        <f>'DGNB matrice'!C133</f>
        <v>1.4</v>
      </c>
      <c r="D128" s="579" t="str">
        <f>'DGNB matrice'!D133</f>
        <v>Stier og opholdsaraler</v>
      </c>
      <c r="E128" s="580">
        <f>'DGNB matrice'!G133</f>
        <v>20</v>
      </c>
      <c r="F128" s="582">
        <f t="shared" si="29"/>
        <v>0.2</v>
      </c>
      <c r="G128" s="578"/>
      <c r="H128" s="579"/>
      <c r="I128" s="581">
        <f t="shared" si="30"/>
        <v>1.8072289156626507E-3</v>
      </c>
    </row>
    <row r="129" spans="1:9" x14ac:dyDescent="0.45">
      <c r="A129" s="924"/>
      <c r="B129" s="925"/>
      <c r="C129" s="579" t="str">
        <f>'DGNB matrice'!C134</f>
        <v>1.5</v>
      </c>
      <c r="D129" s="579" t="str">
        <f>'DGNB matrice'!D134</f>
        <v>Åbenhed og overblik</v>
      </c>
      <c r="E129" s="580">
        <f>'DGNB matrice'!G134</f>
        <v>20</v>
      </c>
      <c r="F129" s="582">
        <f t="shared" si="29"/>
        <v>0.2</v>
      </c>
      <c r="G129" s="578"/>
      <c r="H129" s="579"/>
      <c r="I129" s="581">
        <f t="shared" si="30"/>
        <v>1.8072289156626507E-3</v>
      </c>
    </row>
    <row r="130" spans="1:9" x14ac:dyDescent="0.45">
      <c r="A130" s="924"/>
      <c r="B130" s="579" t="str">
        <f>'DGNB matrice'!B135</f>
        <v>SOC2.1</v>
      </c>
      <c r="C130" s="579" t="str">
        <f>'DGNB matrice'!C135</f>
        <v>Tilgængelighed</v>
      </c>
      <c r="D130" s="579"/>
      <c r="E130" s="580">
        <f>'DGNB matrice'!G135</f>
        <v>100</v>
      </c>
      <c r="F130" s="582">
        <f>E130/$E$130</f>
        <v>1</v>
      </c>
      <c r="G130" s="578">
        <f>'DGNB matrice'!L135</f>
        <v>2.710843373493976E-2</v>
      </c>
      <c r="H130" s="581">
        <f>G130/$G$163</f>
        <v>0.12048192771084336</v>
      </c>
      <c r="I130" s="581">
        <f>F130*$G$130</f>
        <v>2.710843373493976E-2</v>
      </c>
    </row>
    <row r="131" spans="1:9" x14ac:dyDescent="0.45">
      <c r="A131" s="924"/>
      <c r="B131" s="925" t="str">
        <f>'DGNB matrice'!B136</f>
        <v>SOC2.3</v>
      </c>
      <c r="C131" s="579" t="str">
        <f>'DGNB matrice'!C136</f>
        <v>Forhold for cyklister</v>
      </c>
      <c r="D131" s="579"/>
      <c r="E131" s="580">
        <f>'DGNB matrice'!G136</f>
        <v>100</v>
      </c>
      <c r="F131" s="582"/>
      <c r="G131" s="578">
        <f>'DGNB matrice'!L136</f>
        <v>9.0361445783132526E-3</v>
      </c>
      <c r="H131" s="581">
        <f>G131/$G$163</f>
        <v>4.0160642570281117E-2</v>
      </c>
      <c r="I131" s="581"/>
    </row>
    <row r="132" spans="1:9" x14ac:dyDescent="0.45">
      <c r="A132" s="924"/>
      <c r="B132" s="925"/>
      <c r="C132" s="579" t="str">
        <f>'DGNB matrice'!C137</f>
        <v>1.1</v>
      </c>
      <c r="D132" s="579" t="str">
        <f>'DGNB matrice'!D137</f>
        <v>Cykelparkeringspladsernes antal og indretningsprincip</v>
      </c>
      <c r="E132" s="580">
        <f>'DGNB matrice'!G137</f>
        <v>40</v>
      </c>
      <c r="F132" s="582">
        <f>E132/$E$131</f>
        <v>0.4</v>
      </c>
      <c r="G132" s="578"/>
      <c r="H132" s="577"/>
      <c r="I132" s="581">
        <f>F132*$G$131</f>
        <v>3.6144578313253013E-3</v>
      </c>
    </row>
    <row r="133" spans="1:9" x14ac:dyDescent="0.45">
      <c r="A133" s="924"/>
      <c r="B133" s="925"/>
      <c r="C133" s="579" t="str">
        <f>'DGNB matrice'!C138</f>
        <v>1.2.1</v>
      </c>
      <c r="D133" s="579" t="str">
        <f>'DGNB matrice'!D138</f>
        <v>Cykelparkeringspladsernes placering</v>
      </c>
      <c r="E133" s="580">
        <f>'DGNB matrice'!G138</f>
        <v>10</v>
      </c>
      <c r="F133" s="582">
        <f>E133/$E$131</f>
        <v>0.1</v>
      </c>
      <c r="G133" s="578"/>
      <c r="H133" s="577"/>
      <c r="I133" s="581">
        <f t="shared" ref="I133:I135" si="31">F133*$G$131</f>
        <v>9.0361445783132533E-4</v>
      </c>
    </row>
    <row r="134" spans="1:9" x14ac:dyDescent="0.45">
      <c r="A134" s="924"/>
      <c r="B134" s="925"/>
      <c r="C134" s="579" t="str">
        <f>'DGNB matrice'!C139</f>
        <v>1.2.2</v>
      </c>
      <c r="D134" s="579" t="str">
        <f>'DGNB matrice'!D139</f>
        <v>Cykelparkeringspladsernes afstand i forhold til hovedindgangen/indgange</v>
      </c>
      <c r="E134" s="580">
        <f>'DGNB matrice'!G139</f>
        <v>20</v>
      </c>
      <c r="F134" s="582">
        <f>E134/$E$131</f>
        <v>0.2</v>
      </c>
      <c r="G134" s="578"/>
      <c r="H134" s="577"/>
      <c r="I134" s="581">
        <f t="shared" si="31"/>
        <v>1.8072289156626507E-3</v>
      </c>
    </row>
    <row r="135" spans="1:9" x14ac:dyDescent="0.45">
      <c r="A135" s="924"/>
      <c r="B135" s="925"/>
      <c r="C135" s="579" t="str">
        <f>'DGNB matrice'!C140</f>
        <v>1.3</v>
      </c>
      <c r="D135" s="579" t="str">
        <f>'DGNB matrice'!D140</f>
        <v>Cykelparkeringspladsernes indretningsniveau</v>
      </c>
      <c r="E135" s="580">
        <f>'DGNB matrice'!G140</f>
        <v>30</v>
      </c>
      <c r="F135" s="582">
        <f>E135/$E$131</f>
        <v>0.3</v>
      </c>
      <c r="G135" s="578"/>
      <c r="H135" s="577"/>
      <c r="I135" s="581">
        <f t="shared" si="31"/>
        <v>2.7108433734939759E-3</v>
      </c>
    </row>
    <row r="136" spans="1:9" x14ac:dyDescent="0.45">
      <c r="A136" s="924"/>
      <c r="B136" s="925" t="str">
        <f>'DGNB matrice'!B141</f>
        <v>SOC3.1</v>
      </c>
      <c r="C136" s="579" t="str">
        <f>'DGNB matrice'!C141</f>
        <v>Tiltag til at sikre arkitektonisk kvalitet</v>
      </c>
      <c r="D136" s="579"/>
      <c r="E136" s="580">
        <f>'DGNB matrice'!G141</f>
        <v>100</v>
      </c>
      <c r="F136" s="582"/>
      <c r="G136" s="578">
        <f>'DGNB matrice'!L141</f>
        <v>2.710843373493976E-2</v>
      </c>
      <c r="H136" s="581">
        <f>G136/$G$163</f>
        <v>0.12048192771084336</v>
      </c>
      <c r="I136" s="577"/>
    </row>
    <row r="137" spans="1:9" x14ac:dyDescent="0.45">
      <c r="A137" s="924"/>
      <c r="B137" s="925"/>
      <c r="C137" s="579" t="str">
        <f>'DGNB matrice'!C142</f>
        <v>1.1</v>
      </c>
      <c r="D137" s="579" t="str">
        <f>'DGNB matrice'!D142</f>
        <v>Gennemførelse af en arkitektkonkurrence</v>
      </c>
      <c r="E137" s="580">
        <f>'DGNB matrice'!G142</f>
        <v>20</v>
      </c>
      <c r="F137" s="582">
        <f>E137/$E$136</f>
        <v>0.2</v>
      </c>
      <c r="G137" s="578"/>
      <c r="H137" s="577"/>
      <c r="I137" s="581">
        <f>F137*$G$136</f>
        <v>5.4216867469879526E-3</v>
      </c>
    </row>
    <row r="138" spans="1:9" x14ac:dyDescent="0.45">
      <c r="A138" s="924"/>
      <c r="B138" s="925"/>
      <c r="C138" s="579" t="str">
        <f>'DGNB matrice'!C143</f>
        <v>1.2</v>
      </c>
      <c r="D138" s="579" t="str">
        <f>'DGNB matrice'!D143</f>
        <v>Konkurrenceproces</v>
      </c>
      <c r="E138" s="580">
        <f>'DGNB matrice'!G143</f>
        <v>40</v>
      </c>
      <c r="F138" s="582">
        <f t="shared" ref="F138:F145" si="32">E138/$E$131</f>
        <v>0.4</v>
      </c>
      <c r="G138" s="578"/>
      <c r="H138" s="577"/>
      <c r="I138" s="581">
        <f t="shared" ref="I138:I145" si="33">F138*$G$136</f>
        <v>1.0843373493975905E-2</v>
      </c>
    </row>
    <row r="139" spans="1:9" x14ac:dyDescent="0.45">
      <c r="A139" s="924"/>
      <c r="B139" s="925"/>
      <c r="C139" s="579" t="str">
        <f>'DGNB matrice'!C144</f>
        <v>1.3</v>
      </c>
      <c r="D139" s="579" t="str">
        <f>'DGNB matrice'!D144</f>
        <v>Implementering af det vindende projekt</v>
      </c>
      <c r="E139" s="580">
        <f>'DGNB matrice'!G144</f>
        <v>30</v>
      </c>
      <c r="F139" s="582">
        <f t="shared" si="32"/>
        <v>0.3</v>
      </c>
      <c r="G139" s="578"/>
      <c r="H139" s="577"/>
      <c r="I139" s="581">
        <f t="shared" si="33"/>
        <v>8.1325301204819272E-3</v>
      </c>
    </row>
    <row r="140" spans="1:9" x14ac:dyDescent="0.45">
      <c r="A140" s="924"/>
      <c r="B140" s="925"/>
      <c r="C140" s="579" t="str">
        <f>'DGNB matrice'!C145</f>
        <v>1.4</v>
      </c>
      <c r="D140" s="579" t="str">
        <f>'DGNB matrice'!D145</f>
        <v>Udpegning af designteamet</v>
      </c>
      <c r="E140" s="580">
        <f>'DGNB matrice'!G145</f>
        <v>10</v>
      </c>
      <c r="F140" s="582">
        <f t="shared" si="32"/>
        <v>0.1</v>
      </c>
      <c r="G140" s="578"/>
      <c r="H140" s="577"/>
      <c r="I140" s="581">
        <f t="shared" si="33"/>
        <v>2.7108433734939763E-3</v>
      </c>
    </row>
    <row r="141" spans="1:9" x14ac:dyDescent="0.45">
      <c r="A141" s="924"/>
      <c r="B141" s="925"/>
      <c r="C141" s="579" t="str">
        <f>'DGNB matrice'!C146</f>
        <v>2.1</v>
      </c>
      <c r="D141" s="579" t="str">
        <f>'DGNB matrice'!D146</f>
        <v>Gennemførelse af en totalentreprisekonkurrence</v>
      </c>
      <c r="E141" s="580">
        <f>'DGNB matrice'!G146</f>
        <v>20</v>
      </c>
      <c r="F141" s="582">
        <f t="shared" si="32"/>
        <v>0.2</v>
      </c>
      <c r="G141" s="578"/>
      <c r="H141" s="577"/>
      <c r="I141" s="581">
        <f t="shared" si="33"/>
        <v>5.4216867469879526E-3</v>
      </c>
    </row>
    <row r="142" spans="1:9" x14ac:dyDescent="0.45">
      <c r="A142" s="924"/>
      <c r="B142" s="925"/>
      <c r="C142" s="579" t="str">
        <f>'DGNB matrice'!C147</f>
        <v>2.2</v>
      </c>
      <c r="D142" s="579" t="str">
        <f>'DGNB matrice'!D147</f>
        <v>Vægtning af arkitektonisk kvalitet</v>
      </c>
      <c r="E142" s="580">
        <f>'DGNB matrice'!G147</f>
        <v>40</v>
      </c>
      <c r="F142" s="582">
        <f t="shared" si="32"/>
        <v>0.4</v>
      </c>
      <c r="G142" s="578"/>
      <c r="H142" s="577"/>
      <c r="I142" s="581">
        <f t="shared" si="33"/>
        <v>1.0843373493975905E-2</v>
      </c>
    </row>
    <row r="143" spans="1:9" x14ac:dyDescent="0.45">
      <c r="A143" s="924"/>
      <c r="B143" s="925"/>
      <c r="C143" s="579" t="str">
        <f>'DGNB matrice'!C148</f>
        <v>2.3</v>
      </c>
      <c r="D143" s="579" t="str">
        <f>'DGNB matrice'!D148</f>
        <v>Mulighed for variation i løsningsforslag</v>
      </c>
      <c r="E143" s="580">
        <f>'DGNB matrice'!G148</f>
        <v>40</v>
      </c>
      <c r="F143" s="582">
        <f t="shared" si="32"/>
        <v>0.4</v>
      </c>
      <c r="G143" s="578"/>
      <c r="H143" s="577"/>
      <c r="I143" s="581">
        <f t="shared" si="33"/>
        <v>1.0843373493975905E-2</v>
      </c>
    </row>
    <row r="144" spans="1:9" x14ac:dyDescent="0.45">
      <c r="A144" s="924"/>
      <c r="B144" s="925"/>
      <c r="C144" s="579" t="str">
        <f>'DGNB matrice'!C149</f>
        <v xml:space="preserve">3. </v>
      </c>
      <c r="D144" s="579" t="str">
        <f>'DGNB matrice'!D149</f>
        <v>Jurybedømmelse</v>
      </c>
      <c r="E144" s="580">
        <f>'DGNB matrice'!G149</f>
        <v>100</v>
      </c>
      <c r="F144" s="582">
        <f t="shared" si="32"/>
        <v>1</v>
      </c>
      <c r="G144" s="578"/>
      <c r="H144" s="577"/>
      <c r="I144" s="581">
        <f t="shared" si="33"/>
        <v>2.710843373493976E-2</v>
      </c>
    </row>
    <row r="145" spans="1:9" x14ac:dyDescent="0.45">
      <c r="A145" s="924"/>
      <c r="B145" s="925"/>
      <c r="C145" s="579" t="str">
        <f>'DGNB matrice'!C150</f>
        <v>4.</v>
      </c>
      <c r="D145" s="579" t="str">
        <f>'DGNB matrice'!D150</f>
        <v>Forudgående variantundersøgelse</v>
      </c>
      <c r="E145" s="580">
        <f>'DGNB matrice'!G150</f>
        <v>20</v>
      </c>
      <c r="F145" s="582">
        <f t="shared" si="32"/>
        <v>0.2</v>
      </c>
      <c r="G145" s="578"/>
      <c r="H145" s="577"/>
      <c r="I145" s="581">
        <f t="shared" si="33"/>
        <v>5.4216867469879526E-3</v>
      </c>
    </row>
    <row r="146" spans="1:9" x14ac:dyDescent="0.45">
      <c r="A146" s="924"/>
      <c r="B146" s="925" t="str">
        <f>'DGNB matrice'!B151</f>
        <v>SOC3.3</v>
      </c>
      <c r="C146" s="579" t="str">
        <f>'DGNB matrice'!C151</f>
        <v>Plandisponering</v>
      </c>
      <c r="D146" s="579"/>
      <c r="E146" s="580">
        <f>'DGNB matrice'!G151</f>
        <v>100</v>
      </c>
      <c r="F146" s="582"/>
      <c r="G146" s="578">
        <f>'DGNB matrice'!L151</f>
        <v>1.8072289156626505E-2</v>
      </c>
      <c r="H146" s="581">
        <f>G146/$G$163</f>
        <v>8.0321285140562235E-2</v>
      </c>
      <c r="I146" s="577"/>
    </row>
    <row r="147" spans="1:9" x14ac:dyDescent="0.45">
      <c r="A147" s="924"/>
      <c r="B147" s="925"/>
      <c r="C147" s="579" t="str">
        <f>'DGNB matrice'!C152</f>
        <v>1.1</v>
      </c>
      <c r="D147" s="579" t="str">
        <f>'DGNB matrice'!D152</f>
        <v>Bygningstypens mulighed for differentieret anvendelse</v>
      </c>
      <c r="E147" s="580">
        <f>'DGNB matrice'!G152</f>
        <v>8</v>
      </c>
      <c r="F147" s="582">
        <f t="shared" ref="F147:F162" si="34">E147/$E$146</f>
        <v>0.08</v>
      </c>
      <c r="G147" s="578"/>
      <c r="H147" s="577"/>
      <c r="I147" s="581">
        <f>F147*$G$146</f>
        <v>1.4457831325301205E-3</v>
      </c>
    </row>
    <row r="148" spans="1:9" x14ac:dyDescent="0.45">
      <c r="A148" s="924"/>
      <c r="B148" s="925"/>
      <c r="C148" s="579" t="str">
        <f>'DGNB matrice'!C153</f>
        <v>1.2.1</v>
      </c>
      <c r="D148" s="579" t="str">
        <f>'DGNB matrice'!D153</f>
        <v>Fælles opholdsarealer og mødesteder inde i bygningen</v>
      </c>
      <c r="E148" s="580">
        <f>'DGNB matrice'!G153</f>
        <v>2.5</v>
      </c>
      <c r="F148" s="582">
        <f t="shared" si="34"/>
        <v>2.5000000000000001E-2</v>
      </c>
      <c r="G148" s="578"/>
      <c r="H148" s="577"/>
      <c r="I148" s="581">
        <f t="shared" ref="I148:I161" si="35">F148*$G$146</f>
        <v>4.5180722891566266E-4</v>
      </c>
    </row>
    <row r="149" spans="1:9" x14ac:dyDescent="0.45">
      <c r="A149" s="924"/>
      <c r="B149" s="925"/>
      <c r="C149" s="579" t="str">
        <f>'DGNB matrice'!C154</f>
        <v>1.2.2</v>
      </c>
      <c r="D149" s="579" t="str">
        <f>'DGNB matrice'!D154</f>
        <v>Fleksible og varierede anvendelsesmuligheder af fællesområder og kommunikationszoner</v>
      </c>
      <c r="E149" s="580">
        <f>'DGNB matrice'!G154</f>
        <v>2.5</v>
      </c>
      <c r="F149" s="582">
        <f t="shared" si="34"/>
        <v>2.5000000000000001E-2</v>
      </c>
      <c r="G149" s="578"/>
      <c r="H149" s="577"/>
      <c r="I149" s="581">
        <f t="shared" si="35"/>
        <v>4.5180722891566266E-4</v>
      </c>
    </row>
    <row r="150" spans="1:9" x14ac:dyDescent="0.45">
      <c r="A150" s="924"/>
      <c r="B150" s="925"/>
      <c r="C150" s="579" t="str">
        <f>'DGNB matrice'!C155</f>
        <v>1.2.3</v>
      </c>
      <c r="D150" s="579" t="str">
        <f>'DGNB matrice'!D155</f>
        <v>Supplerende tilbud til brugerne</v>
      </c>
      <c r="E150" s="580">
        <f>'DGNB matrice'!G155</f>
        <v>4.5</v>
      </c>
      <c r="F150" s="582">
        <f t="shared" si="34"/>
        <v>4.4999999999999998E-2</v>
      </c>
      <c r="G150" s="578"/>
      <c r="H150" s="577"/>
      <c r="I150" s="581">
        <f t="shared" si="35"/>
        <v>8.1325301204819274E-4</v>
      </c>
    </row>
    <row r="151" spans="1:9" x14ac:dyDescent="0.45">
      <c r="A151" s="924"/>
      <c r="B151" s="925"/>
      <c r="C151" s="579" t="str">
        <f>'DGNB matrice'!C156</f>
        <v>2.1</v>
      </c>
      <c r="D151" s="579" t="str">
        <f>'DGNB matrice'!D156</f>
        <v>Indretning af boligen i fælles og individuelle områder</v>
      </c>
      <c r="E151" s="580">
        <f>'DGNB matrice'!G156</f>
        <v>7.5</v>
      </c>
      <c r="F151" s="582">
        <f t="shared" si="34"/>
        <v>7.4999999999999997E-2</v>
      </c>
      <c r="G151" s="578"/>
      <c r="H151" s="577"/>
      <c r="I151" s="581">
        <f t="shared" si="35"/>
        <v>1.3554216867469879E-3</v>
      </c>
    </row>
    <row r="152" spans="1:9" x14ac:dyDescent="0.45">
      <c r="A152" s="924"/>
      <c r="B152" s="925"/>
      <c r="C152" s="579" t="str">
        <f>'DGNB matrice'!C157</f>
        <v>2.1.1</v>
      </c>
      <c r="D152" s="579" t="str">
        <f>'DGNB matrice'!D157</f>
        <v>Boligens fleksibilitet vedr. disponering af toilet- og baderum</v>
      </c>
      <c r="E152" s="580">
        <f>'DGNB matrice'!G157</f>
        <v>5</v>
      </c>
      <c r="F152" s="582">
        <f t="shared" si="34"/>
        <v>0.05</v>
      </c>
      <c r="G152" s="578"/>
      <c r="H152" s="577"/>
      <c r="I152" s="581">
        <f t="shared" si="35"/>
        <v>9.0361445783132533E-4</v>
      </c>
    </row>
    <row r="153" spans="1:9" x14ac:dyDescent="0.45">
      <c r="A153" s="924"/>
      <c r="B153" s="925"/>
      <c r="C153" s="579" t="str">
        <f>'DGNB matrice'!C158</f>
        <v>2.2</v>
      </c>
      <c r="D153" s="579" t="str">
        <f>'DGNB matrice'!D158</f>
        <v>Interne indgangs- og adgangsområder</v>
      </c>
      <c r="E153" s="580">
        <f>'DGNB matrice'!G158</f>
        <v>7.5</v>
      </c>
      <c r="F153" s="582">
        <f t="shared" si="34"/>
        <v>7.4999999999999997E-2</v>
      </c>
      <c r="G153" s="578"/>
      <c r="H153" s="577"/>
      <c r="I153" s="581">
        <f t="shared" si="35"/>
        <v>1.3554216867469879E-3</v>
      </c>
    </row>
    <row r="154" spans="1:9" x14ac:dyDescent="0.45">
      <c r="A154" s="924"/>
      <c r="B154" s="925"/>
      <c r="C154" s="579" t="str">
        <f>'DGNB matrice'!C159</f>
        <v>2.3</v>
      </c>
      <c r="D154" s="579" t="str">
        <f>'DGNB matrice'!D159</f>
        <v>Belysning med dagslys</v>
      </c>
      <c r="E154" s="580">
        <f>'DGNB matrice'!G159</f>
        <v>12.5</v>
      </c>
      <c r="F154" s="582">
        <f t="shared" si="34"/>
        <v>0.125</v>
      </c>
      <c r="G154" s="578"/>
      <c r="H154" s="577"/>
      <c r="I154" s="581">
        <f t="shared" si="35"/>
        <v>2.2590361445783132E-3</v>
      </c>
    </row>
    <row r="155" spans="1:9" x14ac:dyDescent="0.45">
      <c r="A155" s="924"/>
      <c r="B155" s="925"/>
      <c r="C155" s="579" t="str">
        <f>'DGNB matrice'!C160</f>
        <v>2.4.1</v>
      </c>
      <c r="D155" s="579" t="str">
        <f>'DGNB matrice'!D160</f>
        <v>Visuelle relationer til omgivelserne</v>
      </c>
      <c r="E155" s="580">
        <f>'DGNB matrice'!G160</f>
        <v>5</v>
      </c>
      <c r="F155" s="582">
        <f t="shared" si="34"/>
        <v>0.05</v>
      </c>
      <c r="G155" s="578"/>
      <c r="H155" s="577"/>
      <c r="I155" s="581">
        <f t="shared" si="35"/>
        <v>9.0361445783132533E-4</v>
      </c>
    </row>
    <row r="156" spans="1:9" x14ac:dyDescent="0.45">
      <c r="A156" s="924"/>
      <c r="B156" s="925"/>
      <c r="C156" s="579" t="str">
        <f>'DGNB matrice'!C161</f>
        <v>2.4.2</v>
      </c>
      <c r="D156" s="579" t="str">
        <f>'DGNB matrice'!D161</f>
        <v>Udsigt</v>
      </c>
      <c r="E156" s="580">
        <f>'DGNB matrice'!G161</f>
        <v>5</v>
      </c>
      <c r="F156" s="582">
        <f t="shared" si="34"/>
        <v>0.05</v>
      </c>
      <c r="G156" s="578"/>
      <c r="H156" s="577"/>
      <c r="I156" s="581">
        <f t="shared" si="35"/>
        <v>9.0361445783132533E-4</v>
      </c>
    </row>
    <row r="157" spans="1:9" x14ac:dyDescent="0.45">
      <c r="A157" s="924"/>
      <c r="B157" s="925"/>
      <c r="C157" s="579" t="str">
        <f>'DGNB matrice'!C162</f>
        <v>2.4.3</v>
      </c>
      <c r="D157" s="579" t="str">
        <f>'DGNB matrice'!D162</f>
        <v>Indkig i opholdsrum</v>
      </c>
      <c r="E157" s="580">
        <f>'DGNB matrice'!G162</f>
        <v>7.5</v>
      </c>
      <c r="F157" s="582">
        <f t="shared" si="34"/>
        <v>7.4999999999999997E-2</v>
      </c>
      <c r="G157" s="578"/>
      <c r="H157" s="577"/>
      <c r="I157" s="581">
        <f t="shared" si="35"/>
        <v>1.3554216867469879E-3</v>
      </c>
    </row>
    <row r="158" spans="1:9" x14ac:dyDescent="0.45">
      <c r="A158" s="924"/>
      <c r="B158" s="925"/>
      <c r="C158" s="579" t="str">
        <f>'DGNB matrice'!C163</f>
        <v>2.4.4</v>
      </c>
      <c r="D158" s="579" t="str">
        <f>'DGNB matrice'!D163</f>
        <v>Forbindelse mellem boliger og friarealer</v>
      </c>
      <c r="E158" s="580">
        <f>'DGNB matrice'!G163</f>
        <v>5</v>
      </c>
      <c r="F158" s="582">
        <f t="shared" si="34"/>
        <v>0.05</v>
      </c>
      <c r="G158" s="578"/>
      <c r="H158" s="577"/>
      <c r="I158" s="581">
        <f t="shared" si="35"/>
        <v>9.0361445783132533E-4</v>
      </c>
    </row>
    <row r="159" spans="1:9" x14ac:dyDescent="0.45">
      <c r="A159" s="924"/>
      <c r="B159" s="925"/>
      <c r="C159" s="579" t="str">
        <f>'DGNB matrice'!C164</f>
        <v>2.4.5</v>
      </c>
      <c r="D159" s="579" t="str">
        <f>'DGNB matrice'!D164</f>
        <v>Privat friareal (ude)</v>
      </c>
      <c r="E159" s="580">
        <f>'DGNB matrice'!G164</f>
        <v>5</v>
      </c>
      <c r="F159" s="582">
        <f t="shared" si="34"/>
        <v>0.05</v>
      </c>
      <c r="G159" s="578"/>
      <c r="H159" s="577"/>
      <c r="I159" s="581">
        <f t="shared" si="35"/>
        <v>9.0361445783132533E-4</v>
      </c>
    </row>
    <row r="160" spans="1:9" x14ac:dyDescent="0.45">
      <c r="A160" s="924"/>
      <c r="B160" s="925"/>
      <c r="C160" s="579" t="str">
        <f>'DGNB matrice'!C165</f>
        <v>2.6</v>
      </c>
      <c r="D160" s="579" t="str">
        <f>'DGNB matrice'!D165</f>
        <v>Integreret udformningsdesign/møblerbarhedIntegreret indretningsdesign/møblerbarhed</v>
      </c>
      <c r="E160" s="580">
        <f>'DGNB matrice'!G165</f>
        <v>7.5</v>
      </c>
      <c r="F160" s="582">
        <f t="shared" si="34"/>
        <v>7.4999999999999997E-2</v>
      </c>
      <c r="G160" s="578"/>
      <c r="H160" s="577"/>
      <c r="I160" s="581">
        <f t="shared" si="35"/>
        <v>1.3554216867469879E-3</v>
      </c>
    </row>
    <row r="161" spans="1:9" x14ac:dyDescent="0.45">
      <c r="A161" s="924"/>
      <c r="B161" s="925"/>
      <c r="C161" s="579" t="str">
        <f>'DGNB matrice'!C166</f>
        <v>2.7</v>
      </c>
      <c r="D161" s="579" t="str">
        <f>'DGNB matrice'!D166</f>
        <v>Depot- og opbevaringsarealer</v>
      </c>
      <c r="E161" s="580">
        <f>'DGNB matrice'!G166</f>
        <v>10</v>
      </c>
      <c r="F161" s="582">
        <f t="shared" si="34"/>
        <v>0.1</v>
      </c>
      <c r="G161" s="578"/>
      <c r="H161" s="577"/>
      <c r="I161" s="581">
        <f t="shared" si="35"/>
        <v>1.8072289156626507E-3</v>
      </c>
    </row>
    <row r="162" spans="1:9" ht="14.65" thickBot="1" x14ac:dyDescent="0.5">
      <c r="A162" s="924"/>
      <c r="B162" s="926"/>
      <c r="C162" s="591" t="str">
        <f>'DGNB matrice'!C167</f>
        <v>2.8</v>
      </c>
      <c r="D162" s="591" t="str">
        <f>'DGNB matrice'!D167</f>
        <v>Tilslutninger til kommunikationsmedier (internet, telefon, tv)</v>
      </c>
      <c r="E162" s="588">
        <f>'DGNB matrice'!G167</f>
        <v>5</v>
      </c>
      <c r="F162" s="589">
        <f t="shared" si="34"/>
        <v>0.05</v>
      </c>
      <c r="G162" s="590"/>
      <c r="H162" s="596"/>
      <c r="I162" s="592">
        <f>F162*$G$146</f>
        <v>9.0361445783132533E-4</v>
      </c>
    </row>
    <row r="163" spans="1:9" s="74" customFormat="1" x14ac:dyDescent="0.45">
      <c r="A163" s="924"/>
      <c r="B163" s="593"/>
      <c r="C163" s="593"/>
      <c r="D163" s="593"/>
      <c r="E163" s="585"/>
      <c r="F163" s="586"/>
      <c r="G163" s="587">
        <f>SUM(G91:G162)</f>
        <v>0.22500000000000003</v>
      </c>
      <c r="H163" s="587">
        <f t="shared" ref="H163" si="36">SUM(H91:H162)</f>
        <v>0.99999999999999967</v>
      </c>
      <c r="I163" s="587">
        <f>SUM(I91:I140)+SUM(I147:I162)</f>
        <v>0.22500000000000003</v>
      </c>
    </row>
    <row r="164" spans="1:9" s="74" customFormat="1" x14ac:dyDescent="0.45">
      <c r="B164" s="557"/>
      <c r="C164" s="557"/>
      <c r="D164" s="557"/>
      <c r="E164" s="559"/>
      <c r="F164" s="76"/>
      <c r="G164" s="558"/>
    </row>
    <row r="165" spans="1:9" s="74" customFormat="1" x14ac:dyDescent="0.45">
      <c r="A165" s="924" t="s">
        <v>651</v>
      </c>
      <c r="B165" s="579"/>
      <c r="C165" s="579"/>
      <c r="D165" s="579"/>
      <c r="E165" s="580" t="s">
        <v>791</v>
      </c>
      <c r="F165" s="577" t="s">
        <v>872</v>
      </c>
      <c r="G165" s="578" t="s">
        <v>870</v>
      </c>
      <c r="H165" s="577" t="s">
        <v>871</v>
      </c>
      <c r="I165" s="577"/>
    </row>
    <row r="166" spans="1:9" x14ac:dyDescent="0.45">
      <c r="A166" s="924"/>
      <c r="B166" s="925" t="str">
        <f>'DGNB matrice'!B168</f>
        <v>TEC1.1</v>
      </c>
      <c r="C166" s="579" t="str">
        <f>'DGNB matrice'!C168</f>
        <v>Brandsikring</v>
      </c>
      <c r="D166" s="579"/>
      <c r="E166" s="580">
        <f>SUM(E167:E171)</f>
        <v>150</v>
      </c>
      <c r="F166" s="582"/>
      <c r="G166" s="578">
        <f>'DGNB matrice'!L168</f>
        <v>3.4615384615384617E-2</v>
      </c>
      <c r="H166" s="581">
        <f>G166/$G$206</f>
        <v>0.15384615384615388</v>
      </c>
      <c r="I166" s="577"/>
    </row>
    <row r="167" spans="1:9" x14ac:dyDescent="0.45">
      <c r="A167" s="924"/>
      <c r="B167" s="925"/>
      <c r="C167" s="579" t="str">
        <f>'DGNB matrice'!C169</f>
        <v>1.</v>
      </c>
      <c r="D167" s="579" t="str">
        <f>'DGNB matrice'!D169</f>
        <v xml:space="preserve">Basisindikator                                 </v>
      </c>
      <c r="E167" s="580">
        <f>'DGNB matrice'!G169</f>
        <v>20</v>
      </c>
      <c r="F167" s="582">
        <f>E167/$E$166</f>
        <v>0.13333333333333333</v>
      </c>
      <c r="G167" s="578"/>
      <c r="H167" s="577"/>
      <c r="I167" s="581">
        <f>F167*$G$166</f>
        <v>4.6153846153846158E-3</v>
      </c>
    </row>
    <row r="168" spans="1:9" x14ac:dyDescent="0.45">
      <c r="A168" s="924"/>
      <c r="B168" s="925"/>
      <c r="C168" s="579" t="str">
        <f>'DGNB matrice'!C170</f>
        <v>2.1</v>
      </c>
      <c r="D168" s="579" t="str">
        <f>'DGNB matrice'!D170</f>
        <v>Ekstra brandsikring</v>
      </c>
      <c r="E168" s="580">
        <f>'DGNB matrice'!G170</f>
        <v>40</v>
      </c>
      <c r="F168" s="582">
        <f>E168/$E$166</f>
        <v>0.26666666666666666</v>
      </c>
      <c r="G168" s="578"/>
      <c r="H168" s="577"/>
      <c r="I168" s="581">
        <f t="shared" ref="I168:I171" si="37">F168*$G$166</f>
        <v>9.2307692307692316E-3</v>
      </c>
    </row>
    <row r="169" spans="1:9" x14ac:dyDescent="0.45">
      <c r="A169" s="924"/>
      <c r="B169" s="925"/>
      <c r="C169" s="579" t="str">
        <f>'DGNB matrice'!C171</f>
        <v>2.2</v>
      </c>
      <c r="D169" s="579" t="str">
        <f>'DGNB matrice'!D171</f>
        <v>Brandteknisk dimensionering</v>
      </c>
      <c r="E169" s="580">
        <f>'DGNB matrice'!G171</f>
        <v>40</v>
      </c>
      <c r="F169" s="582">
        <f>E169/$E$166</f>
        <v>0.26666666666666666</v>
      </c>
      <c r="G169" s="578"/>
      <c r="H169" s="577"/>
      <c r="I169" s="581">
        <f t="shared" si="37"/>
        <v>9.2307692307692316E-3</v>
      </c>
    </row>
    <row r="170" spans="1:9" x14ac:dyDescent="0.45">
      <c r="A170" s="924"/>
      <c r="B170" s="925"/>
      <c r="C170" s="579" t="str">
        <f>'DGNB matrice'!C172</f>
        <v>3.2</v>
      </c>
      <c r="D170" s="579" t="str">
        <f>'DGNB matrice'!D172</f>
        <v>Tekniske sikkerhedsanordninger</v>
      </c>
      <c r="E170" s="580">
        <f>'DGNB matrice'!G172</f>
        <v>25</v>
      </c>
      <c r="F170" s="582">
        <f>E170/$E$166</f>
        <v>0.16666666666666666</v>
      </c>
      <c r="G170" s="578"/>
      <c r="H170" s="577"/>
      <c r="I170" s="581">
        <f t="shared" si="37"/>
        <v>5.7692307692307696E-3</v>
      </c>
    </row>
    <row r="171" spans="1:9" x14ac:dyDescent="0.45">
      <c r="A171" s="924"/>
      <c r="B171" s="925"/>
      <c r="C171" s="579" t="str">
        <f>'DGNB matrice'!C173</f>
        <v>3.6</v>
      </c>
      <c r="D171" s="579" t="str">
        <f>'DGNB matrice'!D173</f>
        <v>Information til beboere om brandsikring</v>
      </c>
      <c r="E171" s="580">
        <f>'DGNB matrice'!G173</f>
        <v>25</v>
      </c>
      <c r="F171" s="582">
        <f>E171/$E$166</f>
        <v>0.16666666666666666</v>
      </c>
      <c r="G171" s="578"/>
      <c r="H171" s="577"/>
      <c r="I171" s="581">
        <f t="shared" si="37"/>
        <v>5.7692307692307696E-3</v>
      </c>
    </row>
    <row r="172" spans="1:9" x14ac:dyDescent="0.45">
      <c r="A172" s="924"/>
      <c r="B172" s="579" t="str">
        <f>'DGNB matrice'!B174</f>
        <v>TEC1.2</v>
      </c>
      <c r="C172" s="579" t="str">
        <f>'DGNB matrice'!C174</f>
        <v>Akustik og lydisolering</v>
      </c>
      <c r="D172" s="579"/>
      <c r="E172" s="580">
        <f>'DGNB matrice'!G174</f>
        <v>100</v>
      </c>
      <c r="F172" s="582">
        <f>E172/$E$172</f>
        <v>1</v>
      </c>
      <c r="G172" s="578">
        <f>'DGNB matrice'!L174</f>
        <v>3.4615384615384617E-2</v>
      </c>
      <c r="H172" s="581">
        <f>G172/$G$206</f>
        <v>0.15384615384615388</v>
      </c>
      <c r="I172" s="581">
        <f>F172*$G$172</f>
        <v>3.4615384615384617E-2</v>
      </c>
    </row>
    <row r="173" spans="1:9" x14ac:dyDescent="0.45">
      <c r="A173" s="924"/>
      <c r="B173" s="925" t="str">
        <f>'DGNB matrice'!B175</f>
        <v>TEC1.3</v>
      </c>
      <c r="C173" s="579" t="str">
        <f>'DGNB matrice'!C175</f>
        <v>Klimaskærmens kvalitet</v>
      </c>
      <c r="D173" s="579"/>
      <c r="E173" s="580">
        <f>SUM(E174:E179)</f>
        <v>100</v>
      </c>
      <c r="F173" s="582"/>
      <c r="G173" s="578">
        <f>'DGNB matrice'!L175</f>
        <v>3.4615384615384617E-2</v>
      </c>
      <c r="H173" s="581">
        <f>G173/$G$206</f>
        <v>0.15384615384615388</v>
      </c>
      <c r="I173" s="577"/>
    </row>
    <row r="174" spans="1:9" x14ac:dyDescent="0.45">
      <c r="A174" s="924"/>
      <c r="B174" s="925"/>
      <c r="C174" s="579" t="str">
        <f>'DGNB matrice'!C176</f>
        <v>1.</v>
      </c>
      <c r="D174" s="579" t="str">
        <f>'DGNB matrice'!D176</f>
        <v>Isoleringskrav for bygningsdele</v>
      </c>
      <c r="E174" s="580">
        <f>'DGNB matrice'!G176</f>
        <v>30</v>
      </c>
      <c r="F174" s="582">
        <f>E174/$E$173</f>
        <v>0.3</v>
      </c>
      <c r="G174" s="578"/>
      <c r="H174" s="577"/>
      <c r="I174" s="581">
        <f>F174*$G$173</f>
        <v>1.0384615384615384E-2</v>
      </c>
    </row>
    <row r="175" spans="1:9" x14ac:dyDescent="0.45">
      <c r="A175" s="924"/>
      <c r="B175" s="925"/>
      <c r="C175" s="579" t="str">
        <f>'DGNB matrice'!C177</f>
        <v>2.</v>
      </c>
      <c r="D175" s="579" t="str">
        <f>'DGNB matrice'!D177</f>
        <v>Linjetab</v>
      </c>
      <c r="E175" s="580">
        <f>'DGNB matrice'!G177</f>
        <v>15</v>
      </c>
      <c r="F175" s="582">
        <f t="shared" ref="F175:F179" si="38">E175/$E$173</f>
        <v>0.15</v>
      </c>
      <c r="G175" s="578"/>
      <c r="H175" s="577"/>
      <c r="I175" s="581">
        <f t="shared" ref="I175:I179" si="39">F175*$G$173</f>
        <v>5.1923076923076922E-3</v>
      </c>
    </row>
    <row r="176" spans="1:9" x14ac:dyDescent="0.45">
      <c r="A176" s="924"/>
      <c r="B176" s="925"/>
      <c r="C176" s="579" t="str">
        <f>'DGNB matrice'!C178</f>
        <v>3.</v>
      </c>
      <c r="D176" s="579" t="str">
        <f>'DGNB matrice'!D178</f>
        <v>Dimensionerende transmissionstab for klimaskærmen</v>
      </c>
      <c r="E176" s="580">
        <f>'DGNB matrice'!G178</f>
        <v>15</v>
      </c>
      <c r="F176" s="582">
        <f t="shared" si="38"/>
        <v>0.15</v>
      </c>
      <c r="G176" s="578"/>
      <c r="H176" s="577"/>
      <c r="I176" s="581">
        <f t="shared" si="39"/>
        <v>5.1923076923076922E-3</v>
      </c>
    </row>
    <row r="177" spans="1:9" x14ac:dyDescent="0.45">
      <c r="A177" s="924"/>
      <c r="B177" s="925"/>
      <c r="C177" s="579" t="str">
        <f>'DGNB matrice'!C179</f>
        <v>4.</v>
      </c>
      <c r="D177" s="579" t="str">
        <f>'DGNB matrice'!D179</f>
        <v>Fugtsikring</v>
      </c>
      <c r="E177" s="580">
        <f>'DGNB matrice'!G179</f>
        <v>10</v>
      </c>
      <c r="F177" s="582">
        <f t="shared" si="38"/>
        <v>0.1</v>
      </c>
      <c r="G177" s="578"/>
      <c r="H177" s="577"/>
      <c r="I177" s="581">
        <f t="shared" si="39"/>
        <v>3.4615384615384621E-3</v>
      </c>
    </row>
    <row r="178" spans="1:9" x14ac:dyDescent="0.45">
      <c r="A178" s="924"/>
      <c r="B178" s="925"/>
      <c r="C178" s="579" t="str">
        <f>'DGNB matrice'!C180</f>
        <v>5.</v>
      </c>
      <c r="D178" s="579" t="str">
        <f>'DGNB matrice'!D180</f>
        <v>Lufttæthed, infiltration q50</v>
      </c>
      <c r="E178" s="580">
        <f>'DGNB matrice'!G180</f>
        <v>15</v>
      </c>
      <c r="F178" s="582">
        <f t="shared" si="38"/>
        <v>0.15</v>
      </c>
      <c r="G178" s="578"/>
      <c r="H178" s="577"/>
      <c r="I178" s="581">
        <f t="shared" si="39"/>
        <v>5.1923076923076922E-3</v>
      </c>
    </row>
    <row r="179" spans="1:9" x14ac:dyDescent="0.45">
      <c r="A179" s="924"/>
      <c r="B179" s="925"/>
      <c r="C179" s="579" t="str">
        <f>'DGNB matrice'!C181</f>
        <v>6.</v>
      </c>
      <c r="D179" s="579" t="str">
        <f>'DGNB matrice'!D181</f>
        <v>Vinduernes energimærke</v>
      </c>
      <c r="E179" s="580">
        <f>'DGNB matrice'!G181</f>
        <v>15</v>
      </c>
      <c r="F179" s="582">
        <f t="shared" si="38"/>
        <v>0.15</v>
      </c>
      <c r="G179" s="578"/>
      <c r="H179" s="577"/>
      <c r="I179" s="581">
        <f t="shared" si="39"/>
        <v>5.1923076923076922E-3</v>
      </c>
    </row>
    <row r="180" spans="1:9" x14ac:dyDescent="0.45">
      <c r="A180" s="924"/>
      <c r="B180" s="925" t="str">
        <f>'DGNB matrice'!B182</f>
        <v>TEC1.4</v>
      </c>
      <c r="C180" s="579" t="str">
        <f>'DGNB matrice'!C182</f>
        <v>De tekniske systemers tilpasningsevne</v>
      </c>
      <c r="D180" s="579"/>
      <c r="E180" s="580">
        <f>SUM(E181:E190)</f>
        <v>100</v>
      </c>
      <c r="F180" s="582"/>
      <c r="G180" s="578">
        <f>'DGNB matrice'!L182</f>
        <v>1.7307692307692309E-2</v>
      </c>
      <c r="H180" s="581">
        <f>G180/$G$206</f>
        <v>7.6923076923076941E-2</v>
      </c>
      <c r="I180" s="577"/>
    </row>
    <row r="181" spans="1:9" x14ac:dyDescent="0.45">
      <c r="A181" s="924"/>
      <c r="B181" s="925"/>
      <c r="C181" s="579" t="str">
        <f>'DGNB matrice'!C183</f>
        <v>1.1</v>
      </c>
      <c r="D181" s="579" t="str">
        <f>'DGNB matrice'!D183</f>
        <v>Alle komponenters tilgængelighed i teknikcentralen med henblik på modernisering og en senere udskiftning</v>
      </c>
      <c r="E181" s="580">
        <f>'DGNB matrice'!G183</f>
        <v>15</v>
      </c>
      <c r="F181" s="582">
        <f>E181/$E$180</f>
        <v>0.15</v>
      </c>
      <c r="G181" s="578"/>
      <c r="H181" s="577"/>
      <c r="I181" s="581">
        <f>F181*$G$180</f>
        <v>2.5961538461538461E-3</v>
      </c>
    </row>
    <row r="182" spans="1:9" x14ac:dyDescent="0.45">
      <c r="A182" s="924"/>
      <c r="B182" s="925"/>
      <c r="C182" s="579" t="str">
        <f>'DGNB matrice'!C184</f>
        <v>1.2</v>
      </c>
      <c r="D182" s="579" t="str">
        <f>'DGNB matrice'!D184</f>
        <v>Planlægning</v>
      </c>
      <c r="E182" s="580">
        <f>'DGNB matrice'!G184</f>
        <v>5</v>
      </c>
      <c r="F182" s="582">
        <f t="shared" ref="F182:F190" si="40">E182/$E$180</f>
        <v>0.05</v>
      </c>
      <c r="G182" s="578"/>
      <c r="H182" s="577"/>
      <c r="I182" s="581">
        <f t="shared" ref="I182:I190" si="41">F182*$G$180</f>
        <v>8.6538461538461552E-4</v>
      </c>
    </row>
    <row r="183" spans="1:9" x14ac:dyDescent="0.45">
      <c r="A183" s="924"/>
      <c r="B183" s="925"/>
      <c r="C183" s="579" t="str">
        <f>'DGNB matrice'!C185</f>
        <v>1.3</v>
      </c>
      <c r="D183" s="579" t="str">
        <f>'DGNB matrice'!D185</f>
        <v>Tilgængelighed i vertikale skakter</v>
      </c>
      <c r="E183" s="580">
        <f>'DGNB matrice'!G185</f>
        <v>10</v>
      </c>
      <c r="F183" s="582">
        <f t="shared" si="40"/>
        <v>0.1</v>
      </c>
      <c r="G183" s="578"/>
      <c r="H183" s="577"/>
      <c r="I183" s="581">
        <f t="shared" si="41"/>
        <v>1.730769230769231E-3</v>
      </c>
    </row>
    <row r="184" spans="1:9" x14ac:dyDescent="0.45">
      <c r="A184" s="924"/>
      <c r="B184" s="925"/>
      <c r="C184" s="579" t="str">
        <f>'DGNB matrice'!C186</f>
        <v>1.4.1</v>
      </c>
      <c r="D184" s="579" t="str">
        <f>'DGNB matrice'!D186</f>
        <v>skakter til VVS, el- og itforsyning</v>
      </c>
      <c r="E184" s="580">
        <f>'DGNB matrice'!G186</f>
        <v>10</v>
      </c>
      <c r="F184" s="582">
        <f t="shared" si="40"/>
        <v>0.1</v>
      </c>
      <c r="G184" s="578"/>
      <c r="H184" s="577"/>
      <c r="I184" s="581">
        <f t="shared" si="41"/>
        <v>1.730769230769231E-3</v>
      </c>
    </row>
    <row r="185" spans="1:9" x14ac:dyDescent="0.45">
      <c r="A185" s="924"/>
      <c r="B185" s="925"/>
      <c r="C185" s="579" t="str">
        <f>'DGNB matrice'!C187</f>
        <v>1.4.2</v>
      </c>
      <c r="D185" s="579" t="str">
        <f>'DGNB matrice'!D187</f>
        <v>Ventilationsskakte</v>
      </c>
      <c r="E185" s="580">
        <f>'DGNB matrice'!G187</f>
        <v>5</v>
      </c>
      <c r="F185" s="582">
        <f t="shared" si="40"/>
        <v>0.05</v>
      </c>
      <c r="G185" s="578"/>
      <c r="H185" s="577"/>
      <c r="I185" s="581">
        <f t="shared" si="41"/>
        <v>8.6538461538461552E-4</v>
      </c>
    </row>
    <row r="186" spans="1:9" x14ac:dyDescent="0.45">
      <c r="A186" s="924"/>
      <c r="B186" s="925"/>
      <c r="C186" s="579" t="str">
        <f>'DGNB matrice'!C188</f>
        <v>1.4.3</v>
      </c>
      <c r="D186" s="579" t="str">
        <f>'DGNB matrice'!D188</f>
        <v>Elevatorskakte</v>
      </c>
      <c r="E186" s="580">
        <f>'DGNB matrice'!G188</f>
        <v>5</v>
      </c>
      <c r="F186" s="582">
        <f t="shared" si="40"/>
        <v>0.05</v>
      </c>
      <c r="G186" s="578"/>
      <c r="H186" s="577"/>
      <c r="I186" s="581">
        <f t="shared" si="41"/>
        <v>8.6538461538461552E-4</v>
      </c>
    </row>
    <row r="187" spans="1:9" x14ac:dyDescent="0.45">
      <c r="A187" s="924"/>
      <c r="B187" s="925"/>
      <c r="C187" s="579" t="str">
        <f>'DGNB matrice'!C189</f>
        <v>2.1</v>
      </c>
      <c r="D187" s="579" t="str">
        <f>'DGNB matrice'!D189</f>
        <v>Varmesystem og varmefordeling</v>
      </c>
      <c r="E187" s="580">
        <f>'DGNB matrice'!G189</f>
        <v>12.5</v>
      </c>
      <c r="F187" s="582">
        <f t="shared" si="40"/>
        <v>0.125</v>
      </c>
      <c r="G187" s="578"/>
      <c r="H187" s="577"/>
      <c r="I187" s="581">
        <f t="shared" si="41"/>
        <v>2.1634615384615386E-3</v>
      </c>
    </row>
    <row r="188" spans="1:9" x14ac:dyDescent="0.45">
      <c r="A188" s="924"/>
      <c r="B188" s="925"/>
      <c r="C188" s="579" t="str">
        <f>'DGNB matrice'!C190</f>
        <v>2.2</v>
      </c>
      <c r="D188" s="579" t="str">
        <f>'DGNB matrice'!D190</f>
        <v>Kølesystem og kølefordeling</v>
      </c>
      <c r="E188" s="580">
        <f>'DGNB matrice'!G190</f>
        <v>12.5</v>
      </c>
      <c r="F188" s="582">
        <f t="shared" si="40"/>
        <v>0.125</v>
      </c>
      <c r="G188" s="578"/>
      <c r="H188" s="577"/>
      <c r="I188" s="581">
        <f t="shared" si="41"/>
        <v>2.1634615384615386E-3</v>
      </c>
    </row>
    <row r="189" spans="1:9" x14ac:dyDescent="0.45">
      <c r="A189" s="924"/>
      <c r="B189" s="925"/>
      <c r="C189" s="579" t="str">
        <f>'DGNB matrice'!C191</f>
        <v>3.1</v>
      </c>
      <c r="D189" s="579" t="str">
        <f>'DGNB matrice'!D191</f>
        <v xml:space="preserve">Systemintegration - tilstand og mulighed for udbygning </v>
      </c>
      <c r="E189" s="580">
        <f>'DGNB matrice'!G191</f>
        <v>15</v>
      </c>
      <c r="F189" s="582">
        <f t="shared" si="40"/>
        <v>0.15</v>
      </c>
      <c r="G189" s="578"/>
      <c r="H189" s="577"/>
      <c r="I189" s="581">
        <f t="shared" si="41"/>
        <v>2.5961538461538461E-3</v>
      </c>
    </row>
    <row r="190" spans="1:9" x14ac:dyDescent="0.45">
      <c r="A190" s="924"/>
      <c r="B190" s="925"/>
      <c r="C190" s="579" t="str">
        <f>'DGNB matrice'!C192</f>
        <v>3.2</v>
      </c>
      <c r="D190" s="579" t="str">
        <f>'DGNB matrice'!D192</f>
        <v>Integration af funktioner i et overordnet system</v>
      </c>
      <c r="E190" s="580">
        <f>'DGNB matrice'!G192</f>
        <v>10</v>
      </c>
      <c r="F190" s="582">
        <f t="shared" si="40"/>
        <v>0.1</v>
      </c>
      <c r="G190" s="578"/>
      <c r="H190" s="577"/>
      <c r="I190" s="581">
        <f t="shared" si="41"/>
        <v>1.730769230769231E-3</v>
      </c>
    </row>
    <row r="191" spans="1:9" x14ac:dyDescent="0.45">
      <c r="A191" s="924"/>
      <c r="B191" s="925" t="str">
        <f>'DGNB matrice'!B193</f>
        <v>TEC1.5</v>
      </c>
      <c r="C191" s="579" t="str">
        <f>'DGNB matrice'!C193</f>
        <v>Vedligehold og rengøringsvenlighed</v>
      </c>
      <c r="D191" s="579"/>
      <c r="E191" s="580">
        <f>SUM(E192:E197)</f>
        <v>100</v>
      </c>
      <c r="F191" s="582"/>
      <c r="G191" s="578">
        <f>'DGNB matrice'!L193</f>
        <v>3.4615384615384617E-2</v>
      </c>
      <c r="H191" s="581">
        <f>G191/$G$206</f>
        <v>0.15384615384615388</v>
      </c>
      <c r="I191" s="577"/>
    </row>
    <row r="192" spans="1:9" x14ac:dyDescent="0.45">
      <c r="A192" s="924"/>
      <c r="B192" s="925"/>
      <c r="C192" s="579" t="str">
        <f>'DGNB matrice'!C194</f>
        <v>1.</v>
      </c>
      <c r="D192" s="579" t="str">
        <f>'DGNB matrice'!D194</f>
        <v>Bærende konstruktioner</v>
      </c>
      <c r="E192" s="580">
        <f>'DGNB matrice'!G194</f>
        <v>15</v>
      </c>
      <c r="F192" s="582">
        <f>E192/$E$191</f>
        <v>0.15</v>
      </c>
      <c r="G192" s="578"/>
      <c r="H192" s="577"/>
      <c r="I192" s="581">
        <f>F192*$G$191</f>
        <v>5.1923076923076922E-3</v>
      </c>
    </row>
    <row r="193" spans="1:9" x14ac:dyDescent="0.45">
      <c r="A193" s="924"/>
      <c r="B193" s="925"/>
      <c r="C193" s="579" t="str">
        <f>'DGNB matrice'!C195</f>
        <v>2.</v>
      </c>
      <c r="D193" s="579" t="str">
        <f>'DGNB matrice'!D195</f>
        <v>Vinduer og glasfacade</v>
      </c>
      <c r="E193" s="580">
        <f>'DGNB matrice'!G195</f>
        <v>20</v>
      </c>
      <c r="F193" s="582">
        <f t="shared" ref="F193:F197" si="42">E193/$E$191</f>
        <v>0.2</v>
      </c>
      <c r="G193" s="578"/>
      <c r="H193" s="577"/>
      <c r="I193" s="581">
        <f t="shared" ref="I193:I197" si="43">F193*$G$191</f>
        <v>6.9230769230769242E-3</v>
      </c>
    </row>
    <row r="194" spans="1:9" x14ac:dyDescent="0.45">
      <c r="A194" s="924"/>
      <c r="B194" s="925"/>
      <c r="C194" s="579" t="str">
        <f>'DGNB matrice'!C196</f>
        <v>3.1</v>
      </c>
      <c r="D194" s="579" t="str">
        <f>'DGNB matrice'!D196</f>
        <v>Gulvbelægning</v>
      </c>
      <c r="E194" s="580">
        <f>'DGNB matrice'!G196</f>
        <v>20</v>
      </c>
      <c r="F194" s="582">
        <f t="shared" si="42"/>
        <v>0.2</v>
      </c>
      <c r="G194" s="578"/>
      <c r="H194" s="577"/>
      <c r="I194" s="581">
        <f t="shared" si="43"/>
        <v>6.9230769230769242E-3</v>
      </c>
    </row>
    <row r="195" spans="1:9" x14ac:dyDescent="0.45">
      <c r="A195" s="924"/>
      <c r="B195" s="925"/>
      <c r="C195" s="579" t="str">
        <f>'DGNB matrice'!C197</f>
        <v>3.2</v>
      </c>
      <c r="D195" s="579" t="str">
        <f>'DGNB matrice'!D197</f>
        <v>Smudsopsamlingszone</v>
      </c>
      <c r="E195" s="580">
        <f>'DGNB matrice'!G197</f>
        <v>20</v>
      </c>
      <c r="F195" s="582">
        <f t="shared" si="42"/>
        <v>0.2</v>
      </c>
      <c r="G195" s="578"/>
      <c r="H195" s="577"/>
      <c r="I195" s="581">
        <f t="shared" si="43"/>
        <v>6.9230769230769242E-3</v>
      </c>
    </row>
    <row r="196" spans="1:9" x14ac:dyDescent="0.45">
      <c r="A196" s="924"/>
      <c r="B196" s="925"/>
      <c r="C196" s="579" t="str">
        <f>'DGNB matrice'!C198</f>
        <v>3.3</v>
      </c>
      <c r="D196" s="579" t="str">
        <f>'DGNB matrice'!D198</f>
        <v>Rengøringsvenlig indretning</v>
      </c>
      <c r="E196" s="580">
        <f>'DGNB matrice'!G198</f>
        <v>20</v>
      </c>
      <c r="F196" s="582">
        <f t="shared" si="42"/>
        <v>0.2</v>
      </c>
      <c r="G196" s="578"/>
      <c r="H196" s="577"/>
      <c r="I196" s="581">
        <f t="shared" si="43"/>
        <v>6.9230769230769242E-3</v>
      </c>
    </row>
    <row r="197" spans="1:9" x14ac:dyDescent="0.45">
      <c r="A197" s="924"/>
      <c r="B197" s="925"/>
      <c r="C197" s="579" t="str">
        <f>'DGNB matrice'!C199</f>
        <v>3.4</v>
      </c>
      <c r="D197" s="579" t="str">
        <f>'DGNB matrice'!D199</f>
        <v>Ventilationssystemets indblæsningskanaler</v>
      </c>
      <c r="E197" s="580">
        <f>'DGNB matrice'!G199</f>
        <v>5</v>
      </c>
      <c r="F197" s="582">
        <f t="shared" si="42"/>
        <v>0.05</v>
      </c>
      <c r="G197" s="578"/>
      <c r="H197" s="577"/>
      <c r="I197" s="581">
        <f t="shared" si="43"/>
        <v>1.730769230769231E-3</v>
      </c>
    </row>
    <row r="198" spans="1:9" x14ac:dyDescent="0.45">
      <c r="A198" s="924"/>
      <c r="B198" s="925" t="str">
        <f>'DGNB matrice'!B200</f>
        <v>TEC1.6</v>
      </c>
      <c r="C198" s="579" t="str">
        <f>'DGNB matrice'!C200</f>
        <v>Egnethed med henblik på nedtagning og genanvendelse</v>
      </c>
      <c r="D198" s="579"/>
      <c r="E198" s="580">
        <f>SUM(E199:E201)</f>
        <v>100</v>
      </c>
      <c r="F198" s="582"/>
      <c r="G198" s="578">
        <f>'DGNB matrice'!L200</f>
        <v>1.7307692307692309E-2</v>
      </c>
      <c r="H198" s="581">
        <f>G198/$G$206</f>
        <v>7.6923076923076941E-2</v>
      </c>
      <c r="I198" s="577"/>
    </row>
    <row r="199" spans="1:9" x14ac:dyDescent="0.45">
      <c r="A199" s="924"/>
      <c r="B199" s="925"/>
      <c r="C199" s="579" t="str">
        <f>'DGNB matrice'!C201</f>
        <v>1.</v>
      </c>
      <c r="D199" s="579" t="str">
        <f>'DGNB matrice'!D201</f>
        <v>Arbejdsindsats ved nedtagning af bygningsdelen</v>
      </c>
      <c r="E199" s="580">
        <f>'DGNB matrice'!G201</f>
        <v>40</v>
      </c>
      <c r="F199" s="582">
        <f>E199/$E$198</f>
        <v>0.4</v>
      </c>
      <c r="G199" s="578"/>
      <c r="H199" s="577"/>
      <c r="I199" s="581">
        <f>F199*$G$198</f>
        <v>6.9230769230769242E-3</v>
      </c>
    </row>
    <row r="200" spans="1:9" x14ac:dyDescent="0.45">
      <c r="A200" s="924"/>
      <c r="B200" s="925"/>
      <c r="C200" s="579" t="str">
        <f>'DGNB matrice'!C202</f>
        <v>2.1</v>
      </c>
      <c r="D200" s="579" t="str">
        <f>'DGNB matrice'!D202</f>
        <v>Koncept for nedtagning og genanvendelse</v>
      </c>
      <c r="E200" s="580">
        <f>'DGNB matrice'!G202</f>
        <v>30</v>
      </c>
      <c r="F200" s="582">
        <f t="shared" ref="F200:F201" si="44">E200/$E$198</f>
        <v>0.3</v>
      </c>
      <c r="G200" s="578"/>
      <c r="H200" s="577"/>
      <c r="I200" s="581">
        <f t="shared" ref="I200:I201" si="45">F200*$G$198</f>
        <v>5.1923076923076922E-3</v>
      </c>
    </row>
    <row r="201" spans="1:9" x14ac:dyDescent="0.45">
      <c r="A201" s="924"/>
      <c r="B201" s="925"/>
      <c r="C201" s="579" t="str">
        <f>'DGNB matrice'!C203</f>
        <v>2.2</v>
      </c>
      <c r="D201" s="579" t="str">
        <f>'DGNB matrice'!D203</f>
        <v>Vurdering af materialernes ressourceudnyttelse</v>
      </c>
      <c r="E201" s="580">
        <f>'DGNB matrice'!G203</f>
        <v>30</v>
      </c>
      <c r="F201" s="582">
        <f t="shared" si="44"/>
        <v>0.3</v>
      </c>
      <c r="G201" s="578"/>
      <c r="H201" s="577"/>
      <c r="I201" s="581">
        <f t="shared" si="45"/>
        <v>5.1923076923076922E-3</v>
      </c>
    </row>
    <row r="202" spans="1:9" x14ac:dyDescent="0.45">
      <c r="A202" s="924"/>
      <c r="B202" s="925" t="str">
        <f>'DGNB matrice'!B204</f>
        <v>TEC1.7</v>
      </c>
      <c r="C202" s="579" t="str">
        <f>'DGNB matrice'!C204</f>
        <v>Commissioning</v>
      </c>
      <c r="D202" s="579"/>
      <c r="E202" s="580">
        <f>E203+E204</f>
        <v>120</v>
      </c>
      <c r="F202" s="582"/>
      <c r="G202" s="578">
        <f>'DGNB matrice'!L204</f>
        <v>3.4615384615384617E-2</v>
      </c>
      <c r="H202" s="581">
        <f>G202/$G$206</f>
        <v>0.15384615384615388</v>
      </c>
      <c r="I202" s="577"/>
    </row>
    <row r="203" spans="1:9" x14ac:dyDescent="0.45">
      <c r="A203" s="924"/>
      <c r="B203" s="925"/>
      <c r="C203" s="579" t="str">
        <f>'DGNB matrice'!C205</f>
        <v>1.</v>
      </c>
      <c r="D203" s="579" t="str">
        <f>'DGNB matrice'!D205</f>
        <v>Måling og registrering, indregulering og performance-test</v>
      </c>
      <c r="E203" s="580">
        <f>'DGNB matrice'!G205</f>
        <v>50</v>
      </c>
      <c r="F203" s="582">
        <f>E203/$E$202</f>
        <v>0.41666666666666669</v>
      </c>
      <c r="G203" s="578"/>
      <c r="H203" s="577"/>
      <c r="I203" s="581">
        <f>F203*$G$202</f>
        <v>1.4423076923076924E-2</v>
      </c>
    </row>
    <row r="204" spans="1:9" x14ac:dyDescent="0.45">
      <c r="A204" s="924"/>
      <c r="B204" s="925"/>
      <c r="C204" s="579" t="str">
        <f>'DGNB matrice'!C206</f>
        <v>2.</v>
      </c>
      <c r="D204" s="579" t="str">
        <f>'DGNB matrice'!D206</f>
        <v>Commissioning-processen</v>
      </c>
      <c r="E204" s="580">
        <f>'DGNB matrice'!G206</f>
        <v>70</v>
      </c>
      <c r="F204" s="582">
        <f>E204/$E$202</f>
        <v>0.58333333333333337</v>
      </c>
      <c r="G204" s="578"/>
      <c r="H204" s="577"/>
      <c r="I204" s="581">
        <f>F204*$G$202</f>
        <v>2.0192307692307693E-2</v>
      </c>
    </row>
    <row r="205" spans="1:9" ht="14.65" thickBot="1" x14ac:dyDescent="0.5">
      <c r="A205" s="924"/>
      <c r="B205" s="591" t="str">
        <f>'DGNB matrice'!B207</f>
        <v>TEC1.8</v>
      </c>
      <c r="C205" s="591" t="str">
        <f>'DGNB matrice'!C207</f>
        <v>Dokumentation med miljøvaredeklerationer (EPD)</v>
      </c>
      <c r="D205" s="591"/>
      <c r="E205" s="588">
        <f>'DGNB matrice'!G207</f>
        <v>100</v>
      </c>
      <c r="F205" s="589">
        <f>E205/$E$205</f>
        <v>1</v>
      </c>
      <c r="G205" s="590">
        <f>'DGNB matrice'!L207</f>
        <v>1.7307692307692309E-2</v>
      </c>
      <c r="H205" s="592">
        <f>G205/$G$206</f>
        <v>7.6923076923076941E-2</v>
      </c>
      <c r="I205" s="592">
        <f>F205*$G$205</f>
        <v>1.7307692307692309E-2</v>
      </c>
    </row>
    <row r="206" spans="1:9" x14ac:dyDescent="0.45">
      <c r="A206" s="924"/>
      <c r="B206" s="593"/>
      <c r="C206" s="593"/>
      <c r="D206" s="593"/>
      <c r="E206" s="593"/>
      <c r="F206" s="593"/>
      <c r="G206" s="587">
        <f>SUM(G166:G205)</f>
        <v>0.22499999999999998</v>
      </c>
      <c r="H206" s="587">
        <f t="shared" ref="H206" si="46">SUM(H166:H205)</f>
        <v>1.0000000000000002</v>
      </c>
      <c r="I206" s="587">
        <f>SUM(I166:I205)</f>
        <v>0.22500000000000001</v>
      </c>
    </row>
    <row r="207" spans="1:9" x14ac:dyDescent="0.45">
      <c r="B207" s="557"/>
      <c r="C207" s="557"/>
      <c r="D207" s="557"/>
      <c r="E207" s="557"/>
      <c r="F207" s="557"/>
    </row>
    <row r="208" spans="1:9" x14ac:dyDescent="0.45">
      <c r="B208" s="557"/>
      <c r="C208" s="557"/>
      <c r="D208" s="557"/>
      <c r="E208" s="557"/>
      <c r="F208" s="557"/>
    </row>
    <row r="209" spans="2:6" x14ac:dyDescent="0.45">
      <c r="B209" s="557"/>
      <c r="C209" s="557"/>
      <c r="D209" s="557"/>
      <c r="E209" s="557"/>
      <c r="F209" s="557"/>
    </row>
    <row r="210" spans="2:6" x14ac:dyDescent="0.45">
      <c r="B210" s="557"/>
      <c r="C210" s="557"/>
      <c r="D210" s="557"/>
      <c r="E210" s="557"/>
      <c r="F210" s="557"/>
    </row>
    <row r="211" spans="2:6" x14ac:dyDescent="0.45">
      <c r="B211" s="557"/>
      <c r="C211" s="557"/>
      <c r="D211" s="557"/>
      <c r="E211" s="557"/>
      <c r="F211" s="557"/>
    </row>
    <row r="212" spans="2:6" x14ac:dyDescent="0.45">
      <c r="B212" s="557"/>
      <c r="C212" s="557"/>
      <c r="D212" s="557"/>
      <c r="E212" s="557"/>
      <c r="F212" s="557"/>
    </row>
    <row r="213" spans="2:6" x14ac:dyDescent="0.45">
      <c r="B213" s="557"/>
      <c r="C213" s="557"/>
      <c r="D213" s="557"/>
      <c r="E213" s="557"/>
      <c r="F213" s="557"/>
    </row>
  </sheetData>
  <sheetProtection selectLockedCells="1"/>
  <mergeCells count="32">
    <mergeCell ref="B38:B44"/>
    <mergeCell ref="A69:A88"/>
    <mergeCell ref="B80:B87"/>
    <mergeCell ref="B71:B79"/>
    <mergeCell ref="A2:A45"/>
    <mergeCell ref="B30:B37"/>
    <mergeCell ref="B26:B29"/>
    <mergeCell ref="B23:B25"/>
    <mergeCell ref="B12:B22"/>
    <mergeCell ref="B7:B11"/>
    <mergeCell ref="B3:B6"/>
    <mergeCell ref="B124:B129"/>
    <mergeCell ref="B59:B66"/>
    <mergeCell ref="B54:B57"/>
    <mergeCell ref="B50:B53"/>
    <mergeCell ref="A47:A67"/>
    <mergeCell ref="A165:A206"/>
    <mergeCell ref="B131:B135"/>
    <mergeCell ref="B136:B145"/>
    <mergeCell ref="B146:B162"/>
    <mergeCell ref="A90:A163"/>
    <mergeCell ref="B202:B204"/>
    <mergeCell ref="B198:B201"/>
    <mergeCell ref="B191:B197"/>
    <mergeCell ref="B180:B190"/>
    <mergeCell ref="B173:B179"/>
    <mergeCell ref="B166:B171"/>
    <mergeCell ref="B91:B97"/>
    <mergeCell ref="B98:B100"/>
    <mergeCell ref="B101:B106"/>
    <mergeCell ref="B107:B110"/>
    <mergeCell ref="B111:B1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19</vt:i4>
      </vt:variant>
      <vt:variant>
        <vt:lpstr>Navngivne områder</vt:lpstr>
      </vt:variant>
      <vt:variant>
        <vt:i4>25</vt:i4>
      </vt:variant>
    </vt:vector>
  </HeadingPairs>
  <TitlesOfParts>
    <vt:vector size="44" baseType="lpstr">
      <vt:lpstr>Introduktion</vt:lpstr>
      <vt:lpstr>Projektforudsætninger</vt:lpstr>
      <vt:lpstr>Sortering af spørgsmål</vt:lpstr>
      <vt:lpstr>(projektleder)</vt:lpstr>
      <vt:lpstr>Skema til dialogmøder</vt:lpstr>
      <vt:lpstr>Dialogpart 1</vt:lpstr>
      <vt:lpstr>Dialogpart 2</vt:lpstr>
      <vt:lpstr>Dialogpart 3</vt:lpstr>
      <vt:lpstr>Dialogpart 4</vt:lpstr>
      <vt:lpstr>Dialogpart 5</vt:lpstr>
      <vt:lpstr>Dialogpart 6</vt:lpstr>
      <vt:lpstr>Dialogpart 7</vt:lpstr>
      <vt:lpstr>Fravalgte spørgsmål</vt:lpstr>
      <vt:lpstr>Visualisering af resultat</vt:lpstr>
      <vt:lpstr>Ekstra resultatvisninger</vt:lpstr>
      <vt:lpstr>Udbud</vt:lpstr>
      <vt:lpstr>Arbejdsark</vt:lpstr>
      <vt:lpstr>DGNB matrice</vt:lpstr>
      <vt:lpstr>DGNBvægtning</vt:lpstr>
      <vt:lpstr>ListeJaNej</vt:lpstr>
      <vt:lpstr>'Dialogpart 1'!Udskriftsområde</vt:lpstr>
      <vt:lpstr>'Dialogpart 2'!Udskriftsområde</vt:lpstr>
      <vt:lpstr>'Dialogpart 3'!Udskriftsområde</vt:lpstr>
      <vt:lpstr>'Dialogpart 4'!Udskriftsområde</vt:lpstr>
      <vt:lpstr>'Dialogpart 5'!Udskriftsområde</vt:lpstr>
      <vt:lpstr>'Dialogpart 6'!Udskriftsområde</vt:lpstr>
      <vt:lpstr>'Dialogpart 7'!Udskriftsområde</vt:lpstr>
      <vt:lpstr>'Ekstra resultatvisninger'!Udskriftsområde</vt:lpstr>
      <vt:lpstr>'Fravalgte spørgsmål'!Udskriftsområde</vt:lpstr>
      <vt:lpstr>Projektforudsætninger!Udskriftsområde</vt:lpstr>
      <vt:lpstr>'Skema til dialogmøder'!Udskriftsområde</vt:lpstr>
      <vt:lpstr>Udbud!Udskriftsområde</vt:lpstr>
      <vt:lpstr>'Visualisering af resultat'!Udskriftsområde</vt:lpstr>
      <vt:lpstr>'(projektleder)'!Udskriftstitler</vt:lpstr>
      <vt:lpstr>'Dialogpart 1'!Udskriftstitler</vt:lpstr>
      <vt:lpstr>'Dialogpart 3'!Udskriftstitler</vt:lpstr>
      <vt:lpstr>'Dialogpart 4'!Udskriftstitler</vt:lpstr>
      <vt:lpstr>'Dialogpart 5'!Udskriftstitler</vt:lpstr>
      <vt:lpstr>'Dialogpart 6'!Udskriftstitler</vt:lpstr>
      <vt:lpstr>'Dialogpart 7'!Udskriftstitler</vt:lpstr>
      <vt:lpstr>'Fravalgte spørgsmål'!Udskriftstitler</vt:lpstr>
      <vt:lpstr>'Skema til dialogmøder'!Udskriftstitler</vt:lpstr>
      <vt:lpstr>'Sortering af spørgsmål'!Udskriftstitler</vt:lpstr>
      <vt:lpstr>Udbud!Udskriftstitler</vt:lpstr>
    </vt:vector>
  </TitlesOfParts>
  <Company>Ramboll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Stine Skøtt Pedersen;suna cenholt</dc:creator>
  <cp:lastModifiedBy>Hanne Tine Ring Hansen</cp:lastModifiedBy>
  <cp:revision/>
  <cp:lastPrinted>2017-11-17T08:14:21Z</cp:lastPrinted>
  <dcterms:created xsi:type="dcterms:W3CDTF">2016-04-27T07:20:22Z</dcterms:created>
  <dcterms:modified xsi:type="dcterms:W3CDTF">2017-11-17T10:41:28Z</dcterms:modified>
</cp:coreProperties>
</file>